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d6ca910682f21321/Documentos/DILIC 2025/FEVEREIRO/Processo 23135.000935.2024-41 - contratação de ao serviço de limpeza^J asseio e conservação das instalações físicas e mobiliárias do Campus Macau/"/>
    </mc:Choice>
  </mc:AlternateContent>
  <xr:revisionPtr revIDLastSave="0" documentId="8_{7C0BFDD2-C3E3-4F33-B4A0-72DCCB67A213}" xr6:coauthVersionLast="47" xr6:coauthVersionMax="47" xr10:uidLastSave="{00000000-0000-0000-0000-000000000000}"/>
  <bookViews>
    <workbookView xWindow="1425" yWindow="1425" windowWidth="17535" windowHeight="12750" firstSheet="1" activeTab="5" xr2:uid="{00000000-000D-0000-FFFF-FFFF00000000}"/>
  </bookViews>
  <sheets>
    <sheet name="Planilha1" sheetId="5" state="hidden" r:id="rId1"/>
    <sheet name="ENCARREGADO" sheetId="18" r:id="rId2"/>
    <sheet name="ASG " sheetId="19" r:id="rId3"/>
    <sheet name="ASG COM INSALUBRIDADE" sheetId="16" r:id="rId4"/>
    <sheet name="ASG-INSAL" sheetId="7" state="hidden" r:id="rId5"/>
    <sheet name="DEMONSTRATIVO DO VALOR GLOBAL" sheetId="13" r:id="rId6"/>
    <sheet name="Detalhamentos dos custos por M²" sheetId="12" r:id="rId7"/>
    <sheet name="Planilha2" sheetId="20" r:id="rId8"/>
  </sheets>
  <definedNames>
    <definedName name="_xlnm.Print_Area" localSheetId="4">'ASG-INSAL'!$A$1:$D$140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0" l="1"/>
  <c r="E16" i="20" l="1"/>
  <c r="E15" i="20"/>
  <c r="E14" i="20"/>
  <c r="E13" i="20"/>
  <c r="E12" i="20"/>
  <c r="E11" i="20"/>
  <c r="E10" i="20"/>
  <c r="E9" i="20"/>
  <c r="E8" i="20"/>
  <c r="E7" i="20"/>
  <c r="E6" i="20"/>
  <c r="E5" i="20"/>
  <c r="E4" i="20"/>
  <c r="E17" i="20" l="1"/>
  <c r="C19" i="12"/>
  <c r="E53" i="13" l="1"/>
  <c r="E51" i="13"/>
  <c r="C39" i="12"/>
  <c r="C40" i="12"/>
  <c r="C41" i="12"/>
  <c r="C42" i="12"/>
  <c r="C43" i="12"/>
  <c r="C44" i="12"/>
  <c r="C45" i="12"/>
  <c r="C46" i="12"/>
  <c r="C47" i="12"/>
  <c r="C48" i="12"/>
  <c r="C49" i="12"/>
  <c r="C50" i="12"/>
  <c r="C38" i="12"/>
  <c r="C62" i="13"/>
  <c r="C63" i="13"/>
  <c r="C64" i="13"/>
  <c r="C65" i="13"/>
  <c r="C66" i="13"/>
  <c r="C67" i="13"/>
  <c r="C68" i="13"/>
  <c r="C69" i="13"/>
  <c r="C70" i="13"/>
  <c r="C71" i="13"/>
  <c r="C72" i="13"/>
  <c r="C73" i="13"/>
  <c r="C61" i="13"/>
  <c r="C51" i="12" l="1"/>
  <c r="C52" i="12" s="1"/>
  <c r="C20" i="12"/>
  <c r="C21" i="12"/>
  <c r="C22" i="12"/>
  <c r="C23" i="12"/>
  <c r="C24" i="12"/>
  <c r="C25" i="12"/>
  <c r="C26" i="12"/>
  <c r="C27" i="12"/>
  <c r="C28" i="12"/>
  <c r="C29" i="12"/>
  <c r="C30" i="12"/>
  <c r="C31" i="12"/>
  <c r="C54" i="18"/>
  <c r="C54" i="16"/>
  <c r="C54" i="19"/>
  <c r="C32" i="12" l="1"/>
  <c r="C53" i="12"/>
  <c r="C72" i="18"/>
  <c r="C69" i="18"/>
  <c r="C70" i="18" s="1"/>
  <c r="C122" i="19" l="1"/>
  <c r="C126" i="19" s="1"/>
  <c r="C114" i="19"/>
  <c r="C136" i="19" s="1"/>
  <c r="C96" i="19"/>
  <c r="C89" i="19"/>
  <c r="C72" i="19"/>
  <c r="C69" i="19"/>
  <c r="C70" i="19" s="1"/>
  <c r="C42" i="19"/>
  <c r="C73" i="19" s="1"/>
  <c r="D27" i="19"/>
  <c r="C17" i="19"/>
  <c r="C122" i="16"/>
  <c r="C126" i="16" s="1"/>
  <c r="C114" i="16"/>
  <c r="C136" i="16" s="1"/>
  <c r="C96" i="16"/>
  <c r="C89" i="16"/>
  <c r="C72" i="16"/>
  <c r="C69" i="16"/>
  <c r="C70" i="16" s="1"/>
  <c r="C42" i="16"/>
  <c r="C73" i="16" s="1"/>
  <c r="D27" i="16"/>
  <c r="C17" i="16"/>
  <c r="D70" i="19" l="1"/>
  <c r="D72" i="19"/>
  <c r="D71" i="19"/>
  <c r="D95" i="19"/>
  <c r="D96" i="19" s="1"/>
  <c r="C103" i="19" s="1"/>
  <c r="C26" i="19"/>
  <c r="C62" i="19"/>
  <c r="C25" i="19"/>
  <c r="C132" i="19"/>
  <c r="D73" i="19"/>
  <c r="D69" i="19"/>
  <c r="C74" i="19"/>
  <c r="D73" i="16"/>
  <c r="C74" i="16"/>
  <c r="D70" i="16"/>
  <c r="D95" i="16"/>
  <c r="D96" i="16" s="1"/>
  <c r="C103" i="16" s="1"/>
  <c r="C26" i="16"/>
  <c r="C62" i="16"/>
  <c r="C25" i="16"/>
  <c r="D69" i="16"/>
  <c r="D72" i="16"/>
  <c r="C132" i="16"/>
  <c r="D71" i="16"/>
  <c r="D74" i="19" l="1"/>
  <c r="C134" i="19" s="1"/>
  <c r="C27" i="19"/>
  <c r="C27" i="16"/>
  <c r="D34" i="16" s="1"/>
  <c r="D37" i="16"/>
  <c r="D74" i="16"/>
  <c r="C134" i="16" s="1"/>
  <c r="D41" i="16"/>
  <c r="C60" i="16"/>
  <c r="D38" i="16"/>
  <c r="D36" i="16"/>
  <c r="D40" i="16" l="1"/>
  <c r="D39" i="16"/>
  <c r="C28" i="16"/>
  <c r="C29" i="16" s="1"/>
  <c r="D35" i="16"/>
  <c r="D42" i="16" s="1"/>
  <c r="C61" i="16" s="1"/>
  <c r="C63" i="16" s="1"/>
  <c r="C60" i="19"/>
  <c r="C28" i="19"/>
  <c r="C29" i="19" s="1"/>
  <c r="D40" i="19"/>
  <c r="D39" i="19"/>
  <c r="D41" i="19"/>
  <c r="D35" i="19"/>
  <c r="D37" i="19"/>
  <c r="D38" i="19"/>
  <c r="D36" i="19"/>
  <c r="D34" i="19"/>
  <c r="C122" i="18"/>
  <c r="C126" i="18" s="1"/>
  <c r="C114" i="18"/>
  <c r="C136" i="18" s="1"/>
  <c r="C96" i="18"/>
  <c r="C89" i="18"/>
  <c r="C42" i="18"/>
  <c r="C73" i="18" s="1"/>
  <c r="C74" i="18" s="1"/>
  <c r="D27" i="18"/>
  <c r="C17" i="18"/>
  <c r="C33" i="12" l="1"/>
  <c r="D42" i="19"/>
  <c r="C61" i="19" s="1"/>
  <c r="C63" i="19" s="1"/>
  <c r="C133" i="16"/>
  <c r="D87" i="16"/>
  <c r="D86" i="16"/>
  <c r="D84" i="16"/>
  <c r="D83" i="16"/>
  <c r="D85" i="16"/>
  <c r="D88" i="16"/>
  <c r="C132" i="18"/>
  <c r="D73" i="18"/>
  <c r="D95" i="18"/>
  <c r="D96" i="18" s="1"/>
  <c r="C103" i="18" s="1"/>
  <c r="D69" i="18"/>
  <c r="C25" i="18"/>
  <c r="C62" i="18"/>
  <c r="D70" i="18"/>
  <c r="C26" i="18"/>
  <c r="D71" i="18"/>
  <c r="D72" i="18"/>
  <c r="C133" i="19" l="1"/>
  <c r="D84" i="19"/>
  <c r="D86" i="19"/>
  <c r="D87" i="19"/>
  <c r="D88" i="19"/>
  <c r="D85" i="19"/>
  <c r="D83" i="19"/>
  <c r="D89" i="16"/>
  <c r="C102" i="16" s="1"/>
  <c r="C104" i="16" s="1"/>
  <c r="C135" i="16" s="1"/>
  <c r="C137" i="16" s="1"/>
  <c r="D74" i="18"/>
  <c r="C134" i="18" s="1"/>
  <c r="C27" i="18"/>
  <c r="D120" i="16" l="1"/>
  <c r="C138" i="16" s="1"/>
  <c r="C139" i="16" s="1"/>
  <c r="D89" i="19"/>
  <c r="C102" i="19" s="1"/>
  <c r="C104" i="19" s="1"/>
  <c r="C135" i="19" s="1"/>
  <c r="D120" i="19" s="1"/>
  <c r="C138" i="19" s="1"/>
  <c r="C60" i="18"/>
  <c r="D40" i="18"/>
  <c r="C28" i="18"/>
  <c r="C29" i="18" s="1"/>
  <c r="D39" i="18"/>
  <c r="D36" i="18"/>
  <c r="D34" i="18"/>
  <c r="D38" i="18"/>
  <c r="D35" i="18"/>
  <c r="D41" i="18"/>
  <c r="D37" i="18"/>
  <c r="M7" i="13" l="1"/>
  <c r="M20" i="13"/>
  <c r="C137" i="19"/>
  <c r="C139" i="19" s="1"/>
  <c r="D42" i="18"/>
  <c r="C61" i="18" s="1"/>
  <c r="C63" i="18" s="1"/>
  <c r="C6" i="13" l="1"/>
  <c r="M41" i="13"/>
  <c r="H41" i="13"/>
  <c r="H7" i="13"/>
  <c r="H30" i="13"/>
  <c r="H19" i="13"/>
  <c r="C28" i="13"/>
  <c r="N9" i="13"/>
  <c r="N7" i="13"/>
  <c r="N22" i="13"/>
  <c r="N20" i="13"/>
  <c r="F51" i="13"/>
  <c r="C40" i="13"/>
  <c r="C17" i="13"/>
  <c r="D19" i="13" s="1"/>
  <c r="C133" i="18"/>
  <c r="D88" i="18"/>
  <c r="D87" i="18"/>
  <c r="D83" i="18"/>
  <c r="D84" i="18"/>
  <c r="D86" i="18"/>
  <c r="D85" i="18"/>
  <c r="N24" i="13" l="1"/>
  <c r="B73" i="13" s="1"/>
  <c r="D73" i="13" s="1"/>
  <c r="I21" i="13"/>
  <c r="I19" i="13"/>
  <c r="I32" i="13"/>
  <c r="I30" i="13"/>
  <c r="I41" i="13"/>
  <c r="I43" i="13"/>
  <c r="N43" i="13"/>
  <c r="N41" i="13"/>
  <c r="D42" i="13"/>
  <c r="D40" i="13"/>
  <c r="I7" i="13"/>
  <c r="I9" i="13"/>
  <c r="N11" i="13"/>
  <c r="B67" i="13" s="1"/>
  <c r="D67" i="13" s="1"/>
  <c r="D89" i="18"/>
  <c r="C102" i="18" s="1"/>
  <c r="C104" i="18" s="1"/>
  <c r="C135" i="18" s="1"/>
  <c r="C137" i="18" s="1"/>
  <c r="D120" i="18" s="1"/>
  <c r="I11" i="13" l="1"/>
  <c r="I34" i="13"/>
  <c r="B66" i="13" s="1"/>
  <c r="D66" i="13" s="1"/>
  <c r="I23" i="13"/>
  <c r="B65" i="13" s="1"/>
  <c r="D65" i="13" s="1"/>
  <c r="I45" i="13"/>
  <c r="C11" i="12" s="1"/>
  <c r="N45" i="13"/>
  <c r="C15" i="12"/>
  <c r="B70" i="13"/>
  <c r="D70" i="13" s="1"/>
  <c r="C12" i="12"/>
  <c r="B64" i="13"/>
  <c r="D64" i="13" s="1"/>
  <c r="C6" i="12"/>
  <c r="C9" i="12"/>
  <c r="D121" i="18"/>
  <c r="C7" i="12" l="1"/>
  <c r="C8" i="12"/>
  <c r="B69" i="13"/>
  <c r="D69" i="13" s="1"/>
  <c r="D122" i="18"/>
  <c r="D126" i="18" s="1"/>
  <c r="C138" i="18" s="1"/>
  <c r="C139" i="18" s="1"/>
  <c r="M9" i="13" l="1"/>
  <c r="H9" i="13"/>
  <c r="M22" i="13"/>
  <c r="H32" i="13"/>
  <c r="H21" i="13"/>
  <c r="H43" i="13"/>
  <c r="M43" i="13"/>
  <c r="C30" i="13"/>
  <c r="C8" i="13"/>
  <c r="C19" i="13"/>
  <c r="F53" i="13"/>
  <c r="C42" i="13"/>
  <c r="C123" i="7"/>
  <c r="B17" i="12"/>
  <c r="G53" i="13" l="1"/>
  <c r="G51" i="13"/>
  <c r="G55" i="13" l="1"/>
  <c r="D8" i="13"/>
  <c r="D6" i="13"/>
  <c r="D17" i="13"/>
  <c r="D30" i="13"/>
  <c r="D28" i="13"/>
  <c r="B12" i="5"/>
  <c r="C14" i="12" l="1"/>
  <c r="C13" i="12"/>
  <c r="B72" i="13"/>
  <c r="D72" i="13" s="1"/>
  <c r="B71" i="13"/>
  <c r="D71" i="13" s="1"/>
  <c r="D32" i="13"/>
  <c r="D44" i="13"/>
  <c r="D21" i="13"/>
  <c r="C4" i="12" s="1"/>
  <c r="D10" i="13"/>
  <c r="C3" i="12" s="1"/>
  <c r="C115" i="7"/>
  <c r="C137" i="7" s="1"/>
  <c r="C96" i="7"/>
  <c r="C89" i="7"/>
  <c r="C49" i="7"/>
  <c r="C42" i="7"/>
  <c r="C72" i="7" s="1"/>
  <c r="C12" i="7"/>
  <c r="C17" i="7" s="1"/>
  <c r="D95" i="7" s="1"/>
  <c r="D96" i="7" s="1"/>
  <c r="B63" i="13" l="1"/>
  <c r="D63" i="13" s="1"/>
  <c r="C5" i="12"/>
  <c r="B68" i="13"/>
  <c r="D68" i="13" s="1"/>
  <c r="C10" i="12"/>
  <c r="B62" i="13"/>
  <c r="D62" i="13" s="1"/>
  <c r="B61" i="13"/>
  <c r="D61" i="13" s="1"/>
  <c r="C103" i="7"/>
  <c r="D72" i="7"/>
  <c r="C74" i="7"/>
  <c r="C25" i="7"/>
  <c r="D37" i="7"/>
  <c r="D73" i="7"/>
  <c r="D88" i="7"/>
  <c r="C26" i="7"/>
  <c r="C27" i="7" s="1"/>
  <c r="C28" i="7" s="1"/>
  <c r="C29" i="7" s="1"/>
  <c r="C59" i="7" s="1"/>
  <c r="D34" i="7"/>
  <c r="D38" i="7"/>
  <c r="D71" i="7"/>
  <c r="D85" i="7"/>
  <c r="D41" i="7"/>
  <c r="D70" i="7"/>
  <c r="D84" i="7"/>
  <c r="C133" i="7"/>
  <c r="D35" i="7"/>
  <c r="D39" i="7"/>
  <c r="D68" i="7"/>
  <c r="D86" i="7"/>
  <c r="D36" i="7"/>
  <c r="D40" i="7"/>
  <c r="C48" i="7"/>
  <c r="D69" i="7"/>
  <c r="D83" i="7"/>
  <c r="D87" i="7"/>
  <c r="D74" i="13" l="1"/>
  <c r="C53" i="7"/>
  <c r="C61" i="7" s="1"/>
  <c r="D74" i="7"/>
  <c r="C135" i="7" s="1"/>
  <c r="D89" i="7"/>
  <c r="D42" i="7"/>
  <c r="C60" i="7" s="1"/>
  <c r="C62" i="7" l="1"/>
  <c r="C134" i="7" s="1"/>
  <c r="C102" i="7"/>
  <c r="C104" i="7" l="1"/>
  <c r="C105" i="7" s="1"/>
  <c r="C136" i="7" s="1"/>
  <c r="C138" i="7" s="1"/>
  <c r="D121" i="7" s="1"/>
  <c r="D122" i="7" l="1"/>
  <c r="D123" i="7" l="1"/>
  <c r="D127" i="7" s="1"/>
  <c r="C139" i="7" s="1"/>
  <c r="C140" i="7" s="1"/>
  <c r="C4" i="5" l="1"/>
  <c r="C5" i="5"/>
  <c r="C6" i="5"/>
  <c r="C7" i="5"/>
  <c r="C8" i="5"/>
  <c r="C9" i="5"/>
  <c r="C10" i="5"/>
  <c r="C11" i="5"/>
  <c r="C12" i="5"/>
  <c r="C13" i="5"/>
  <c r="C14" i="5"/>
  <c r="C15" i="5"/>
  <c r="C3" i="5"/>
  <c r="B4" i="5"/>
  <c r="B5" i="5"/>
  <c r="B6" i="5"/>
  <c r="B7" i="5"/>
  <c r="B8" i="5"/>
  <c r="B9" i="5"/>
  <c r="B10" i="5"/>
  <c r="B11" i="5"/>
  <c r="B13" i="5"/>
  <c r="B14" i="5"/>
  <c r="B15" i="5"/>
  <c r="B3" i="5"/>
  <c r="E12" i="5" l="1"/>
  <c r="D12" i="5"/>
  <c r="E14" i="5"/>
  <c r="D14" i="5"/>
  <c r="D10" i="5"/>
  <c r="D7" i="5"/>
  <c r="E7" i="5"/>
  <c r="D3" i="5"/>
  <c r="D8" i="5"/>
  <c r="E8" i="5"/>
  <c r="E9" i="5"/>
  <c r="D9" i="5"/>
  <c r="E15" i="5"/>
  <c r="D15" i="5"/>
  <c r="D13" i="5"/>
  <c r="D5" i="5"/>
  <c r="E5" i="5"/>
  <c r="E4" i="5"/>
  <c r="D4" i="5"/>
  <c r="E6" i="5"/>
  <c r="D6" i="5"/>
  <c r="E11" i="5"/>
  <c r="D11" i="5"/>
  <c r="E3" i="5" l="1"/>
  <c r="E10" i="5"/>
  <c r="E1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CTI</author>
  </authors>
  <commentList>
    <comment ref="B2" authorId="0" shapeId="0" xr:uid="{00000000-0006-0000-0000-000001000000}">
      <text>
        <r>
          <rPr>
            <b/>
            <sz val="12"/>
            <color indexed="81"/>
            <rFont val="Segoe UI"/>
            <family val="2"/>
          </rPr>
          <t>Definir as áreas "adaptando" para a sua estratégia.</t>
        </r>
      </text>
    </comment>
    <comment ref="C2" authorId="0" shapeId="0" xr:uid="{00000000-0006-0000-0000-000002000000}">
      <text>
        <r>
          <rPr>
            <b/>
            <sz val="12"/>
            <color indexed="81"/>
            <rFont val="Segoe UI"/>
            <family val="2"/>
          </rPr>
          <t>Definir as áreas "adaptando" para a sua estratégia.</t>
        </r>
      </text>
    </comment>
    <comment ref="D2" authorId="0" shapeId="0" xr:uid="{00000000-0006-0000-0000-000003000000}">
      <text>
        <r>
          <rPr>
            <b/>
            <sz val="12"/>
            <color indexed="81"/>
            <rFont val="Segoe UI"/>
            <family val="2"/>
          </rPr>
          <t>Definir as áreas "adaptando" para a sua estratégia.</t>
        </r>
      </text>
    </comment>
    <comment ref="E2" authorId="0" shapeId="0" xr:uid="{00000000-0006-0000-0000-000004000000}">
      <text>
        <r>
          <rPr>
            <b/>
            <sz val="12"/>
            <color indexed="81"/>
            <rFont val="Segoe UI"/>
            <family val="2"/>
          </rPr>
          <t>Definir as áreas "adaptando" para a sua estratégia.</t>
        </r>
      </text>
    </comment>
    <comment ref="C3" authorId="0" shapeId="0" xr:uid="{00000000-0006-0000-0000-000005000000}">
      <text>
        <r>
          <rPr>
            <b/>
            <sz val="12"/>
            <color indexed="81"/>
            <rFont val="Segoe UI"/>
            <family val="2"/>
          </rPr>
          <t>O intervalo dessas produtividades estão definidos na IN 05/2017. Se tornam relativos uma vez que a área definida pode ser manipulada conforme a estratégia  de sua gestão e pode não configurar a produtividade que os ASGs executarão na realidade.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Moura Cavalcanti</author>
  </authors>
  <commentList>
    <comment ref="C36" authorId="0" shapeId="0" xr:uid="{0A828E67-E61C-48D7-9D64-2EAA4C1A5E89}">
      <text>
        <r>
          <rPr>
            <b/>
            <sz val="9"/>
            <color indexed="81"/>
            <rFont val="Segoe UI"/>
            <family val="2"/>
          </rPr>
          <t>Gustavo Moura Cavalcanti:</t>
        </r>
        <r>
          <rPr>
            <sz val="9"/>
            <color indexed="81"/>
            <rFont val="Segoe UI"/>
            <family val="2"/>
          </rPr>
          <t xml:space="preserve">
Baixa 1%, Média 2% e Alta 3%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Moura Cavalcanti</author>
  </authors>
  <commentList>
    <comment ref="C36" authorId="0" shapeId="0" xr:uid="{10218361-96A8-4282-B93C-5F62419F5F08}">
      <text>
        <r>
          <rPr>
            <b/>
            <sz val="9"/>
            <color indexed="81"/>
            <rFont val="Segoe UI"/>
            <family val="2"/>
          </rPr>
          <t>Gustavo Moura Cavalcanti:</t>
        </r>
        <r>
          <rPr>
            <sz val="9"/>
            <color indexed="81"/>
            <rFont val="Segoe UI"/>
            <family val="2"/>
          </rPr>
          <t xml:space="preserve">
Baixa 1%, Média 2% e Alta 3%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Moura Cavalcanti</author>
  </authors>
  <commentList>
    <comment ref="C36" authorId="0" shapeId="0" xr:uid="{CD57A720-7435-4CB9-8CB7-075FF1956793}">
      <text>
        <r>
          <rPr>
            <b/>
            <sz val="9"/>
            <color indexed="81"/>
            <rFont val="Segoe UI"/>
            <family val="2"/>
          </rPr>
          <t>Gustavo Moura Cavalcanti:</t>
        </r>
        <r>
          <rPr>
            <sz val="9"/>
            <color indexed="81"/>
            <rFont val="Segoe UI"/>
            <family val="2"/>
          </rPr>
          <t xml:space="preserve">
Baixa 1%, Média 2% e Alta 3%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Moura Cavalcanti</author>
  </authors>
  <commentList>
    <comment ref="C36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Gustavo Moura Cavalcanti:</t>
        </r>
        <r>
          <rPr>
            <sz val="9"/>
            <color indexed="81"/>
            <rFont val="Segoe UI"/>
            <family val="2"/>
          </rPr>
          <t xml:space="preserve">
Baixa 1%, Média 2% e Alta 3%</t>
        </r>
      </text>
    </comment>
    <comment ref="C52" authorId="0" shapeId="0" xr:uid="{00000000-0006-0000-0200-000002000000}">
      <text>
        <r>
          <rPr>
            <b/>
            <sz val="9"/>
            <color indexed="81"/>
            <rFont val="Segoe UI"/>
            <family val="2"/>
          </rPr>
          <t>Gustavo Moura Cavalcanti:</t>
        </r>
        <r>
          <rPr>
            <sz val="9"/>
            <color indexed="81"/>
            <rFont val="Segoe UI"/>
            <family val="2"/>
          </rPr>
          <t xml:space="preserve">
Cidade com mais de 100 mil habiantes (R$45,00 para menos de 100mil)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CTI</author>
    <author>Gustavo Moura Cavalcanti</author>
  </authors>
  <commentList>
    <comment ref="B2" authorId="0" shapeId="0" xr:uid="{00000000-0006-0000-0300-000001000000}">
      <text>
        <r>
          <rPr>
            <b/>
            <sz val="12"/>
            <color indexed="81"/>
            <rFont val="Segoe UI"/>
            <family val="2"/>
          </rPr>
          <t xml:space="preserve">Definir as áreas "adaptando" para a sua estratégia.
</t>
        </r>
      </text>
    </comment>
    <comment ref="B17" authorId="1" shapeId="0" xr:uid="{00000000-0006-0000-0300-000003000000}">
      <text>
        <r>
          <rPr>
            <b/>
            <sz val="9"/>
            <color indexed="81"/>
            <rFont val="Segoe UI"/>
            <family val="2"/>
          </rPr>
          <t>Gustavo Moura Cavalcanti:</t>
        </r>
        <r>
          <rPr>
            <sz val="9"/>
            <color indexed="81"/>
            <rFont val="Segoe UI"/>
            <family val="2"/>
          </rPr>
          <t xml:space="preserve">
Apenas campus central utiliza</t>
        </r>
      </text>
    </comment>
  </commentList>
</comments>
</file>

<file path=xl/sharedStrings.xml><?xml version="1.0" encoding="utf-8"?>
<sst xmlns="http://schemas.openxmlformats.org/spreadsheetml/2006/main" count="1053" uniqueCount="233">
  <si>
    <t>ÁREAS DE LIMPEZA E ASSEIO</t>
  </si>
  <si>
    <t>ÁREA</t>
  </si>
  <si>
    <t>PRODUTIVIDADE</t>
  </si>
  <si>
    <t>VALOR R$/M2</t>
  </si>
  <si>
    <t>VALOR TOTAL</t>
  </si>
  <si>
    <t>A1. PISO ACARPETADO</t>
  </si>
  <si>
    <t>A2. PISO FRIO</t>
  </si>
  <si>
    <t>A3. LABORATÓRIO</t>
  </si>
  <si>
    <t>A4. ALMOX/GALPÃO</t>
  </si>
  <si>
    <t>A5. OFICINA</t>
  </si>
  <si>
    <t>A6. SAGUÕES / SALÕES</t>
  </si>
  <si>
    <t>A7. BANHEIROS</t>
  </si>
  <si>
    <t>B1. PAVIMENTAÇÃO ADJACENTE</t>
  </si>
  <si>
    <t>B2. PASSEIO / RUAS</t>
  </si>
  <si>
    <t>B3. ÁREAS VERDES</t>
  </si>
  <si>
    <t>C1. ESQUADRIAS EXTERNAS COM RISCO</t>
  </si>
  <si>
    <t>C2. ESQUADRIA EXTERNA SEM RISCO</t>
  </si>
  <si>
    <t>C3. ESQUADRIAS INTERNAS</t>
  </si>
  <si>
    <t>PLANILHA DE CUSTOS E FORMAÇÃO DE PREÇOS</t>
  </si>
  <si>
    <t>MODELO PARA A CONSOLIDAÇÃO E APRESENTAÇÃO DE PROPOSTAS</t>
  </si>
  <si>
    <t>Com ajustes após publicação da Lei n° 13.467, de 2017.</t>
  </si>
  <si>
    <t>Nº de Reg. Da CCT</t>
  </si>
  <si>
    <t>SINDLIMP</t>
  </si>
  <si>
    <t>RN000083/2024</t>
  </si>
  <si>
    <t>Data de Vigência da CCT</t>
  </si>
  <si>
    <t>01/01/2024 a 31/12/2024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</si>
  <si>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</si>
  <si>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</si>
  <si>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</si>
  <si>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</si>
  <si>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</si>
  <si>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</si>
  <si>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</si>
  <si>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</si>
  <si>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</si>
  <si>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</si>
  <si>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</si>
  <si>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</si>
  <si>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</si>
  <si>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 xml:space="preserve">F </t>
  </si>
  <si>
    <t>Adicional de Hora Extra - feriado trabalhado</t>
  </si>
  <si>
    <t>G</t>
  </si>
  <si>
    <t>Outros (especificar)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</si>
  <si>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</si>
  <si>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</si>
  <si>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</si>
  <si>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</si>
  <si>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</si>
  <si>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</si>
  <si>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Adicional de Férias</t>
  </si>
  <si>
    <t>SubTotal</t>
  </si>
  <si>
    <t>Incidência do submódulo 2.2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</si>
  <si>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</si>
  <si>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</si>
  <si>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</si>
  <si>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</si>
  <si>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</si>
  <si>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</si>
  <si>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</si>
  <si>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</si>
  <si>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</si>
  <si>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F</t>
  </si>
  <si>
    <t>SEBRAE</t>
  </si>
  <si>
    <t>INCRA</t>
  </si>
  <si>
    <t>H</t>
  </si>
  <si>
    <t>FGTS</t>
  </si>
  <si>
    <t xml:space="preserve">Total 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</si>
  <si>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</si>
  <si>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</si>
  <si>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</si>
  <si>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</si>
  <si>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</si>
  <si>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Auxílio Saúde</t>
  </si>
  <si>
    <t>Benefício Saúde Familiar</t>
  </si>
  <si>
    <t>Seguro de vida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</si>
  <si>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</si>
  <si>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</si>
  <si>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</si>
  <si>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</si>
  <si>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</si>
  <si>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</si>
  <si>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 sobre o Aviso Prévio Indenizado</t>
  </si>
  <si>
    <t>Aviso Prévio Trabalhado</t>
  </si>
  <si>
    <t>Incidência de GPS, FGTS e outras contribuições sobre o Aviso Prévio Trabalhado</t>
  </si>
  <si>
    <t>Módulo 4 - Custo de Reposição do Profissional Ausente</t>
  </si>
  <si>
    <t>Submódulo 4.1 - Ausências Legais</t>
  </si>
  <si>
    <t>4.1</t>
  </si>
  <si>
    <t>Ausências Legais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</si>
  <si>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</si>
  <si>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</si>
  <si>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</si>
  <si>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</si>
  <si>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</si>
  <si>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Outros (especificar)</t>
  </si>
  <si>
    <t>Submódulo 4.2 - Intrajornada</t>
  </si>
  <si>
    <t>4.2</t>
  </si>
  <si>
    <t xml:space="preserve">Substituto na Intrajornada </t>
  </si>
  <si>
    <t>Substituto na cobertura de Intervalo para repouso ou alimentação</t>
  </si>
  <si>
    <t>Quadro-Resumo do Módulo 4 - Custo de Reposição do Profissional Ausente</t>
  </si>
  <si>
    <t>Custo de Reposição do Profissional Ausente</t>
  </si>
  <si>
    <t>Substituto nas Ausências Legais</t>
  </si>
  <si>
    <t>Substituto na Intrajornada</t>
  </si>
  <si>
    <t>Módulo 5 - Insumos Diversos</t>
  </si>
  <si>
    <t>Insumos Diversos</t>
  </si>
  <si>
    <t>Uniformes - calça, camisa, tênis, meia, boné, crachá, luva e bota</t>
  </si>
  <si>
    <t>Materiais</t>
  </si>
  <si>
    <t> </t>
  </si>
  <si>
    <t>Equipamentos</t>
  </si>
  <si>
    <t xml:space="preserve">                         -  </t>
  </si>
  <si>
    <t>Outros (EPIs)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</si>
  <si>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</si>
  <si>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</si>
  <si>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</si>
  <si>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</si>
  <si>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</si>
  <si>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(PIS 0,65% +COFINS 3,0%)</t>
  </si>
  <si>
    <t>C.2. Tributos Estaduais (especificar)</t>
  </si>
  <si>
    <t>C.3. Tributos Municipais (ISS)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</si>
  <si>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</si>
  <si>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</si>
  <si>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</si>
  <si>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</si>
  <si>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 xml:space="preserve">Valor Total por Empregado </t>
  </si>
  <si>
    <t>Adicional de Insalubridade (40%)</t>
  </si>
  <si>
    <t>Multa do FGTS sobre o Aviso Prévio Indenizado</t>
  </si>
  <si>
    <t xml:space="preserve">RN000021/2019 </t>
  </si>
  <si>
    <t>01/01/2019 a 31/12/2020</t>
  </si>
  <si>
    <t>Adicional de Insalubridade - 40%</t>
  </si>
  <si>
    <t>Férias e Adicional de Férias</t>
  </si>
  <si>
    <t>Programa de Qualificação Prof. e Marketing</t>
  </si>
  <si>
    <t>Administradora de benefícios sociais</t>
  </si>
  <si>
    <t>Multa do FGTS e contribuição social sobre o Aviso Prévio Indenizado</t>
  </si>
  <si>
    <t>Multa do FGTS e contribuição social sobre o Aviso Prévio Trabalhado</t>
  </si>
  <si>
    <t>Incidência de GPS, FGTS e outras contribuições sobre o custo de reposição</t>
  </si>
  <si>
    <t xml:space="preserve"> DEMONSTRATIVO DO VALOR GLOBAL DO SERVIÇO</t>
  </si>
  <si>
    <t>A1.</t>
  </si>
  <si>
    <t>(1x2)</t>
  </si>
  <si>
    <t>MÃO DE OBRA</t>
  </si>
  <si>
    <t>PREÇO HOMEM-MÊS</t>
  </si>
  <si>
    <t>SUBTOTAL</t>
  </si>
  <si>
    <t>(1/M²)</t>
  </si>
  <si>
    <t>(R$)</t>
  </si>
  <si>
    <t>(R$/M²)</t>
  </si>
  <si>
    <t>SERVENTE</t>
  </si>
  <si>
    <t>__1__</t>
  </si>
  <si>
    <t>P*</t>
  </si>
  <si>
    <t>ENCARREGADO</t>
  </si>
  <si>
    <t>(30** x P*)</t>
  </si>
  <si>
    <t>TOTAL</t>
  </si>
  <si>
    <t>P = produtividade de referência do trabalhador prevista</t>
  </si>
  <si>
    <t>A2.</t>
  </si>
  <si>
    <t>A3.</t>
  </si>
  <si>
    <t>B1.</t>
  </si>
  <si>
    <t> MÃO DE OBRA</t>
  </si>
  <si>
    <t>C1 e C2</t>
  </si>
  <si>
    <t>(4x5)</t>
  </si>
  <si>
    <t>FREQÜÊNCIA NO MÊS (HORAS)</t>
  </si>
  <si>
    <t>JORNADA DE TRABALHO NO MÊS (HORAS)</t>
  </si>
  <si>
    <t>(1x2x3)</t>
  </si>
  <si>
    <t>SUB-TOTAL</t>
  </si>
  <si>
    <t>Ki***</t>
  </si>
  <si>
    <t>_1__</t>
  </si>
  <si>
    <t>16***</t>
  </si>
  <si>
    <t>VALOR MENSAL DOS SERVIÇOS</t>
  </si>
  <si>
    <t>TIPO DE ÁREA</t>
  </si>
  <si>
    <t>PREÇO MENSAL UNITÁRIO</t>
  </si>
  <si>
    <t>(R$/ M²)</t>
  </si>
  <si>
    <t>(M²)</t>
  </si>
  <si>
    <t>ÁREAS DE LIMPEZA E ASSEIO - ASG</t>
  </si>
  <si>
    <t xml:space="preserve">ÁREA </t>
  </si>
  <si>
    <t>VALOR R$/M²</t>
  </si>
  <si>
    <t>A1. PISOS ACARPETADOS</t>
  </si>
  <si>
    <t>A2. PISOS FRIOS</t>
  </si>
  <si>
    <t>B1. PISOS PAVIMENTADOS ADJACENTES ÀS EDIFICAÇÕES</t>
  </si>
  <si>
    <t>C1. ESQUADRIAS FACE EXTERNAS SEM EXPOSIÇÃO A SITUAÇÃO DE RISCO</t>
  </si>
  <si>
    <t>C2. ESQUADRIAS FACE INTERNAS</t>
  </si>
  <si>
    <t>SUPERVISOR</t>
  </si>
  <si>
    <t>PRODUTIVIDADE CONSIDERADA</t>
  </si>
  <si>
    <t>PRODUTIVIDADE A1 (800 a 1.200) EM M²</t>
  </si>
  <si>
    <t>PRODUTIVIDADE A2 (800 a 1.200) EM M²</t>
  </si>
  <si>
    <t>PRODUTIVIDADE B1 (1.800 a 2.700) EM M²</t>
  </si>
  <si>
    <t>PRODUTIVIDADE C1 (300 a 380) EM M²</t>
  </si>
  <si>
    <t>PRODUTIVIDADE C2 (300 a 380) EM M²</t>
  </si>
  <si>
    <t>HOMENS EM FUNÇÃO DA ÁREA DEFINIDA / PRODUTIVIDADE</t>
  </si>
  <si>
    <t>SOMA DAS:</t>
  </si>
  <si>
    <t>V. MÉD M² EM R$</t>
  </si>
  <si>
    <t>CUSTO DA ÁREA EM R$</t>
  </si>
  <si>
    <t>TOTAL MENSAL</t>
  </si>
  <si>
    <t>TOTAL ANUAL (12 MESES)</t>
  </si>
  <si>
    <t>Programa de Qualificação Profissional</t>
  </si>
  <si>
    <t>A3. LABORATÓRIOS</t>
  </si>
  <si>
    <t>A4.  ALMOXARIFADOS/GALPÕES</t>
  </si>
  <si>
    <t>A5. OFICINAS</t>
  </si>
  <si>
    <t>A6. ÁREAS COM ESPAÇOS LIVRES (SAGUÃO, HALL E SALÃO)</t>
  </si>
  <si>
    <t>A7. PISOS FRIOS - BANHEIROS (ÁREA COM INSALUBRIDADE)</t>
  </si>
  <si>
    <t>B2. VARRIÇÃO DE PASSEIOS E ARRUAMENTOS</t>
  </si>
  <si>
    <t>E1. ÁREAS HOSPITALARES E ASSEMELHADAS</t>
  </si>
  <si>
    <t>PRODUTIVIDADE A3 (360 a 450)  EM M²</t>
  </si>
  <si>
    <t>PRODUTIVIDADE A4 (1.500 a 2.500) EM M²</t>
  </si>
  <si>
    <t>PRODUTIVIDADE A5 (1.200 a 1.800) EM M²</t>
  </si>
  <si>
    <t>PRODUTIVIDADE A6 (1.000 a 1.500) EM M²</t>
  </si>
  <si>
    <t>PRODUTIVIDADE A7 (200 a 300) EM M²</t>
  </si>
  <si>
    <t>PRODUTIVIDADE B2 (6.00 a 9.000) EM M²</t>
  </si>
  <si>
    <t>PRODUTIVIDADE B3 (1.800 a 2.700) EM M²</t>
  </si>
  <si>
    <t>PRODUTIVIDADE E1 (360 a 450) EM M²</t>
  </si>
  <si>
    <t>A4.</t>
  </si>
  <si>
    <t>A5.</t>
  </si>
  <si>
    <t>A6.</t>
  </si>
  <si>
    <t>A7.</t>
  </si>
  <si>
    <t>B2.</t>
  </si>
  <si>
    <t>B3.</t>
  </si>
  <si>
    <t>E1.</t>
  </si>
  <si>
    <t>A1 - Área Interna</t>
  </si>
  <si>
    <t>A2 - Área Interna (pisos frios)</t>
  </si>
  <si>
    <t>A3 - Laboratórios</t>
  </si>
  <si>
    <t>A4 - Almoxarifado/Galpões</t>
  </si>
  <si>
    <t>A5 - Oficinas</t>
  </si>
  <si>
    <t>A6 - Áreas com espaços livres</t>
  </si>
  <si>
    <t>A7 - ÁREA INTERNA - BANHEIROS (ÁREA COM INSALUBRIDADE)</t>
  </si>
  <si>
    <t>B1 - PISOS PAVIMENTADOS ADJACENTES ÀS EDIFICAÇÕES</t>
  </si>
  <si>
    <t>B2 -  VARRIÇÃO DE PASSEIOS E ARRUAMENTOS</t>
  </si>
  <si>
    <t>B3 - ÁREAS VERDES</t>
  </si>
  <si>
    <t>C1 - Esquadria Externa</t>
  </si>
  <si>
    <t>C2 - Esquadria Face Interna</t>
  </si>
  <si>
    <t>E1 - ÁREAS HOSPITALARES E ASSEMELHADAS</t>
  </si>
  <si>
    <t>TOTAL BIENAL (24 MESES)</t>
  </si>
  <si>
    <t>PRODUTIVIDADE DE REFERÊNCIA</t>
  </si>
  <si>
    <t>ÁREA MENSAL</t>
  </si>
  <si>
    <t>QUANTIDADE DE ÁREA BIENAL</t>
  </si>
  <si>
    <t>TOTAL DO CERTAME</t>
  </si>
  <si>
    <t>RN000009/2025</t>
  </si>
  <si>
    <t>nota 1:</t>
  </si>
  <si>
    <t>de acordo com o entendimento do TCU no Acórdão nº 1.186/2017 - Plenário, a Administração "deve estabelecer na minuta do contrato que a parcela mensal a título de aviso prévio trabalhado será no percentual máximo de 1,94% no primeiro ano, e, em caso de prorrogação do contrato, o percentual máximo dessa parcela será de 0,194% a cada ano de prorrogação, a ser incluído por ocasião da formulação do aditivo da prorrogação do contrato, conforme a Lei 12.506/2011"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</si>
</sst>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\ &quot;M²&quot;"/>
    <numFmt numFmtId="165" formatCode="#,##0.000000000"/>
    <numFmt numFmtId="166" formatCode="0.000%"/>
    <numFmt numFmtId="167" formatCode="&quot;R$&quot;\ #,##0.00"/>
    <numFmt numFmtId="168" formatCode="_-* #,##0.0_-;\-* #,##0.0_-;_-* &quot;-&quot;??_-;_-@_-"/>
    <numFmt numFmtId="169" formatCode="_-* #,##0.0000000000_-;\-* #,##0.0000000000_-;_-* &quot;-&quot;??_-;_-@_-"/>
    <numFmt numFmtId="170" formatCode="_-* #,##0_-;\-* #,##0_-;_-* &quot;-&quot;??_-;_-@_-"/>
    <numFmt numFmtId="171" formatCode="#,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1"/>
      <name val="Segoe U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0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C000"/>
      </left>
      <right/>
      <top/>
      <bottom/>
      <diagonal/>
    </border>
    <border>
      <left/>
      <right style="medium">
        <color rgb="FFFFC000"/>
      </right>
      <top/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FF0000"/>
      </top>
      <bottom/>
      <diagonal/>
    </border>
    <border>
      <left style="medium">
        <color rgb="FFE8E7E7"/>
      </left>
      <right style="medium">
        <color rgb="FFE8E7E7"/>
      </right>
      <top style="thin">
        <color rgb="FF000000"/>
      </top>
      <bottom style="medium">
        <color rgb="FFE8E7E7"/>
      </bottom>
      <diagonal/>
    </border>
    <border>
      <left style="thin">
        <color rgb="FF000000"/>
      </left>
      <right style="medium">
        <color rgb="FFE8E7E7"/>
      </right>
      <top style="thin">
        <color rgb="FF000000"/>
      </top>
      <bottom style="medium">
        <color rgb="FFE8E7E7"/>
      </bottom>
      <diagonal/>
    </border>
    <border>
      <left style="medium">
        <color rgb="FFE8E7E7"/>
      </left>
      <right style="medium">
        <color rgb="FFE8E7E7"/>
      </right>
      <top style="medium">
        <color rgb="FFE8E7E7"/>
      </top>
      <bottom/>
      <diagonal/>
    </border>
    <border>
      <left style="thin">
        <color rgb="FF000000"/>
      </left>
      <right style="medium">
        <color rgb="FFE8E7E7"/>
      </right>
      <top style="thin">
        <color rgb="FF000000"/>
      </top>
      <bottom/>
      <diagonal/>
    </border>
    <border>
      <left style="medium">
        <color rgb="FFE8E7E7"/>
      </left>
      <right style="thin">
        <color rgb="FF000000"/>
      </right>
      <top style="medium">
        <color rgb="FFE8E7E7"/>
      </top>
      <bottom/>
      <diagonal/>
    </border>
    <border>
      <left style="medium">
        <color rgb="FFE8E7E7"/>
      </left>
      <right style="medium">
        <color rgb="FFE8E7E7"/>
      </right>
      <top style="thin">
        <color indexed="64"/>
      </top>
      <bottom/>
      <diagonal/>
    </border>
    <border>
      <left style="thin">
        <color rgb="FF000000"/>
      </left>
      <right style="medium">
        <color rgb="FFE8E7E7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rgb="FFE8E7E7"/>
      </left>
      <right style="medium">
        <color rgb="FFE8E7E7"/>
      </right>
      <top/>
      <bottom/>
      <diagonal/>
    </border>
    <border>
      <left style="thin">
        <color rgb="FF000000"/>
      </left>
      <right style="medium">
        <color rgb="FFE8E7E7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E8E7E7"/>
      </left>
      <right style="medium">
        <color rgb="FFE8E7E7"/>
      </right>
      <top/>
      <bottom style="medium">
        <color rgb="FFE8E7E7"/>
      </bottom>
      <diagonal/>
    </border>
    <border>
      <left style="thin">
        <color rgb="FF000000"/>
      </left>
      <right style="medium">
        <color rgb="FFE8E7E7"/>
      </right>
      <top/>
      <bottom style="medium">
        <color rgb="FFE8E7E7"/>
      </bottom>
      <diagonal/>
    </border>
    <border>
      <left style="thin">
        <color rgb="FF000000"/>
      </left>
      <right style="thin">
        <color rgb="FF000000"/>
      </right>
      <top/>
      <bottom style="medium">
        <color rgb="FFE8E7E7"/>
      </bottom>
      <diagonal/>
    </border>
    <border>
      <left style="medium">
        <color rgb="FFE8E7E7"/>
      </left>
      <right style="thin">
        <color rgb="FF000000"/>
      </right>
      <top/>
      <bottom style="medium">
        <color rgb="FFE8E7E7"/>
      </bottom>
      <diagonal/>
    </border>
    <border>
      <left style="medium">
        <color rgb="FFE8E7E7"/>
      </left>
      <right/>
      <top style="medium">
        <color rgb="FFE8E7E7"/>
      </top>
      <bottom style="thin">
        <color rgb="FF000000"/>
      </bottom>
      <diagonal/>
    </border>
    <border>
      <left/>
      <right/>
      <top style="medium">
        <color rgb="FFE8E7E7"/>
      </top>
      <bottom style="thin">
        <color rgb="FF000000"/>
      </bottom>
      <diagonal/>
    </border>
    <border>
      <left/>
      <right style="medium">
        <color rgb="FFE8E7E7"/>
      </right>
      <top style="medium">
        <color rgb="FFE8E7E7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rgb="FFE8E7E7"/>
      </bottom>
      <diagonal/>
    </border>
    <border>
      <left style="thin">
        <color rgb="FF000000"/>
      </left>
      <right/>
      <top style="thin">
        <color rgb="FF000000"/>
      </top>
      <bottom style="medium">
        <color rgb="FFE8E7E7"/>
      </bottom>
      <diagonal/>
    </border>
    <border>
      <left style="medium">
        <color rgb="FFE8E7E7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E8E7E7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7">
    <xf numFmtId="0" fontId="0" fillId="0" borderId="0" xfId="0"/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  <xf numFmtId="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4" fontId="0" fillId="0" borderId="0" xfId="0" applyNumberFormat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164" fontId="0" fillId="3" borderId="3" xfId="0" applyNumberForma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7" fillId="6" borderId="1" xfId="0" applyFont="1" applyFill="1" applyBorder="1" applyAlignment="1">
      <alignment vertical="center" wrapText="1"/>
    </xf>
    <xf numFmtId="4" fontId="8" fillId="6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5" fontId="7" fillId="6" borderId="1" xfId="0" applyNumberFormat="1" applyFont="1" applyFill="1" applyBorder="1" applyAlignment="1">
      <alignment vertical="center" wrapText="1"/>
    </xf>
    <xf numFmtId="4" fontId="7" fillId="6" borderId="1" xfId="0" applyNumberFormat="1" applyFont="1" applyFill="1" applyBorder="1" applyAlignment="1">
      <alignment horizontal="right" vertical="center" wrapText="1"/>
    </xf>
    <xf numFmtId="0" fontId="8" fillId="6" borderId="1" xfId="0" applyFont="1" applyFill="1" applyBorder="1" applyAlignment="1">
      <alignment vertical="center" wrapText="1"/>
    </xf>
    <xf numFmtId="0" fontId="10" fillId="0" borderId="0" xfId="0" applyFont="1"/>
    <xf numFmtId="0" fontId="10" fillId="8" borderId="0" xfId="0" applyFont="1" applyFill="1" applyAlignment="1">
      <alignment horizontal="right"/>
    </xf>
    <xf numFmtId="0" fontId="10" fillId="8" borderId="0" xfId="0" applyFont="1" applyFill="1"/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43" fontId="10" fillId="0" borderId="2" xfId="1" applyFont="1" applyBorder="1" applyAlignment="1">
      <alignment horizontal="center" vertical="center" wrapText="1"/>
    </xf>
    <xf numFmtId="43" fontId="12" fillId="0" borderId="2" xfId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10" fontId="10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horizontal="justify" vertical="center" wrapText="1"/>
    </xf>
    <xf numFmtId="166" fontId="10" fillId="0" borderId="2" xfId="2" applyNumberFormat="1" applyFont="1" applyBorder="1" applyAlignment="1">
      <alignment horizontal="center" vertical="center" wrapText="1"/>
    </xf>
    <xf numFmtId="166" fontId="10" fillId="0" borderId="2" xfId="0" applyNumberFormat="1" applyFont="1" applyBorder="1" applyAlignment="1">
      <alignment horizontal="center" vertical="center" wrapText="1"/>
    </xf>
    <xf numFmtId="9" fontId="10" fillId="0" borderId="2" xfId="2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vertical="center" wrapText="1"/>
    </xf>
    <xf numFmtId="10" fontId="10" fillId="0" borderId="2" xfId="2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43" fontId="13" fillId="0" borderId="2" xfId="1" applyFont="1" applyBorder="1" applyAlignment="1">
      <alignment horizontal="center" vertical="center" wrapText="1"/>
    </xf>
    <xf numFmtId="10" fontId="13" fillId="0" borderId="2" xfId="2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43" fontId="10" fillId="0" borderId="2" xfId="1" applyFont="1" applyBorder="1" applyAlignment="1">
      <alignment vertical="center" wrapText="1"/>
    </xf>
    <xf numFmtId="43" fontId="10" fillId="0" borderId="2" xfId="1" applyFont="1" applyFill="1" applyBorder="1" applyAlignment="1">
      <alignment vertical="center" wrapText="1"/>
    </xf>
    <xf numFmtId="164" fontId="0" fillId="6" borderId="1" xfId="0" applyNumberFormat="1" applyFill="1" applyBorder="1" applyAlignment="1">
      <alignment horizontal="center" vertical="center"/>
    </xf>
    <xf numFmtId="43" fontId="10" fillId="0" borderId="0" xfId="0" applyNumberFormat="1" applyFont="1"/>
    <xf numFmtId="10" fontId="13" fillId="11" borderId="2" xfId="2" applyNumberFormat="1" applyFont="1" applyFill="1" applyBorder="1" applyAlignment="1">
      <alignment horizontal="center" vertical="center" wrapText="1"/>
    </xf>
    <xf numFmtId="0" fontId="10" fillId="8" borderId="0" xfId="0" applyFont="1" applyFill="1" applyAlignment="1">
      <alignment horizontal="right" wrapText="1"/>
    </xf>
    <xf numFmtId="43" fontId="10" fillId="0" borderId="2" xfId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3" fillId="0" borderId="0" xfId="0" applyNumberFormat="1" applyFont="1" applyAlignment="1">
      <alignment horizontal="right" vertical="center" wrapText="1"/>
    </xf>
    <xf numFmtId="0" fontId="7" fillId="13" borderId="0" xfId="0" applyFont="1" applyFill="1" applyAlignment="1">
      <alignment vertical="center" wrapText="1"/>
    </xf>
    <xf numFmtId="4" fontId="7" fillId="13" borderId="0" xfId="0" applyNumberFormat="1" applyFont="1" applyFill="1" applyAlignment="1">
      <alignment horizontal="center" vertical="center"/>
    </xf>
    <xf numFmtId="4" fontId="8" fillId="13" borderId="0" xfId="0" applyNumberFormat="1" applyFont="1" applyFill="1" applyAlignment="1">
      <alignment horizontal="center" vertical="center" wrapText="1"/>
    </xf>
    <xf numFmtId="3" fontId="3" fillId="0" borderId="15" xfId="0" applyNumberFormat="1" applyFont="1" applyBorder="1" applyAlignment="1">
      <alignment horizontal="center"/>
    </xf>
    <xf numFmtId="0" fontId="2" fillId="5" borderId="6" xfId="0" applyFont="1" applyFill="1" applyBorder="1" applyAlignment="1">
      <alignment horizontal="left"/>
    </xf>
    <xf numFmtId="167" fontId="0" fillId="12" borderId="1" xfId="0" applyNumberFormat="1" applyFill="1" applyBorder="1" applyAlignment="1">
      <alignment vertical="center" wrapText="1"/>
    </xf>
    <xf numFmtId="0" fontId="16" fillId="14" borderId="25" xfId="0" applyFont="1" applyFill="1" applyBorder="1" applyAlignment="1">
      <alignment horizontal="center" vertical="center" wrapText="1"/>
    </xf>
    <xf numFmtId="0" fontId="16" fillId="14" borderId="26" xfId="0" applyFont="1" applyFill="1" applyBorder="1" applyAlignment="1">
      <alignment horizontal="center" vertical="center" wrapText="1"/>
    </xf>
    <xf numFmtId="0" fontId="16" fillId="14" borderId="28" xfId="0" applyFont="1" applyFill="1" applyBorder="1" applyAlignment="1">
      <alignment horizontal="center" vertical="center" wrapText="1"/>
    </xf>
    <xf numFmtId="0" fontId="16" fillId="14" borderId="29" xfId="0" applyFont="1" applyFill="1" applyBorder="1" applyAlignment="1">
      <alignment horizontal="center" vertical="center" wrapText="1"/>
    </xf>
    <xf numFmtId="0" fontId="0" fillId="14" borderId="28" xfId="0" applyFill="1" applyBorder="1" applyAlignment="1">
      <alignment horizontal="center" vertical="top" wrapText="1"/>
    </xf>
    <xf numFmtId="0" fontId="15" fillId="14" borderId="21" xfId="0" applyFont="1" applyFill="1" applyBorder="1" applyAlignment="1">
      <alignment horizontal="center" vertical="center"/>
    </xf>
    <xf numFmtId="0" fontId="16" fillId="14" borderId="22" xfId="0" applyFont="1" applyFill="1" applyBorder="1" applyAlignment="1">
      <alignment horizontal="center" vertical="center"/>
    </xf>
    <xf numFmtId="0" fontId="16" fillId="14" borderId="23" xfId="0" applyFont="1" applyFill="1" applyBorder="1" applyAlignment="1">
      <alignment horizontal="center" vertical="center"/>
    </xf>
    <xf numFmtId="0" fontId="16" fillId="14" borderId="24" xfId="0" applyFont="1" applyFill="1" applyBorder="1" applyAlignment="1">
      <alignment horizontal="center" vertical="center"/>
    </xf>
    <xf numFmtId="0" fontId="0" fillId="14" borderId="27" xfId="0" applyFill="1" applyBorder="1" applyAlignment="1">
      <alignment horizontal="center" vertical="top"/>
    </xf>
    <xf numFmtId="0" fontId="16" fillId="14" borderId="28" xfId="0" applyFont="1" applyFill="1" applyBorder="1" applyAlignment="1">
      <alignment horizontal="center" vertical="center"/>
    </xf>
    <xf numFmtId="0" fontId="16" fillId="14" borderId="29" xfId="0" applyFont="1" applyFill="1" applyBorder="1" applyAlignment="1">
      <alignment horizontal="center" vertical="center"/>
    </xf>
    <xf numFmtId="0" fontId="15" fillId="14" borderId="19" xfId="0" applyFont="1" applyFill="1" applyBorder="1" applyAlignment="1">
      <alignment horizontal="center" vertical="center"/>
    </xf>
    <xf numFmtId="0" fontId="15" fillId="14" borderId="28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/>
    <xf numFmtId="0" fontId="2" fillId="5" borderId="0" xfId="0" applyFont="1" applyFill="1" applyAlignment="1">
      <alignment horizontal="center" wrapText="1"/>
    </xf>
    <xf numFmtId="0" fontId="2" fillId="5" borderId="7" xfId="0" applyFont="1" applyFill="1" applyBorder="1" applyAlignment="1">
      <alignment horizontal="center" wrapText="1"/>
    </xf>
    <xf numFmtId="167" fontId="8" fillId="0" borderId="7" xfId="0" applyNumberFormat="1" applyFont="1" applyBorder="1" applyAlignment="1">
      <alignment horizontal="center"/>
    </xf>
    <xf numFmtId="167" fontId="8" fillId="0" borderId="10" xfId="0" applyNumberFormat="1" applyFont="1" applyBorder="1" applyAlignment="1">
      <alignment horizontal="center"/>
    </xf>
    <xf numFmtId="167" fontId="0" fillId="0" borderId="0" xfId="0" applyNumberFormat="1"/>
    <xf numFmtId="168" fontId="0" fillId="0" borderId="0" xfId="1" applyNumberFormat="1" applyFont="1" applyAlignment="1">
      <alignment horizontal="center"/>
    </xf>
    <xf numFmtId="10" fontId="10" fillId="0" borderId="0" xfId="0" applyNumberFormat="1" applyFont="1"/>
    <xf numFmtId="9" fontId="10" fillId="0" borderId="0" xfId="2" applyFont="1"/>
    <xf numFmtId="166" fontId="10" fillId="0" borderId="2" xfId="2" applyNumberFormat="1" applyFont="1" applyFill="1" applyBorder="1" applyAlignment="1">
      <alignment horizontal="center" vertical="center" wrapText="1"/>
    </xf>
    <xf numFmtId="166" fontId="10" fillId="0" borderId="0" xfId="0" applyNumberFormat="1" applyFont="1"/>
    <xf numFmtId="0" fontId="16" fillId="0" borderId="0" xfId="0" applyFont="1" applyAlignment="1">
      <alignment horizontal="center" vertical="center"/>
    </xf>
    <xf numFmtId="164" fontId="0" fillId="6" borderId="0" xfId="0" applyNumberFormat="1" applyFill="1" applyAlignment="1">
      <alignment horizontal="center" vertical="center"/>
    </xf>
    <xf numFmtId="167" fontId="0" fillId="12" borderId="0" xfId="0" applyNumberFormat="1" applyFill="1" applyAlignment="1">
      <alignment vertical="center" wrapText="1"/>
    </xf>
    <xf numFmtId="167" fontId="15" fillId="14" borderId="34" xfId="0" applyNumberFormat="1" applyFont="1" applyFill="1" applyBorder="1" applyAlignment="1">
      <alignment horizontal="left" vertical="center"/>
    </xf>
    <xf numFmtId="167" fontId="15" fillId="14" borderId="34" xfId="0" applyNumberFormat="1" applyFont="1" applyFill="1" applyBorder="1" applyAlignment="1">
      <alignment horizontal="center" vertical="center"/>
    </xf>
    <xf numFmtId="0" fontId="16" fillId="0" borderId="39" xfId="0" applyFont="1" applyBorder="1" applyAlignment="1">
      <alignment vertical="center" wrapText="1"/>
    </xf>
    <xf numFmtId="0" fontId="16" fillId="14" borderId="22" xfId="0" applyFont="1" applyFill="1" applyBorder="1" applyAlignment="1">
      <alignment horizontal="center" wrapText="1"/>
    </xf>
    <xf numFmtId="0" fontId="16" fillId="14" borderId="28" xfId="0" applyFont="1" applyFill="1" applyBorder="1" applyAlignment="1">
      <alignment horizontal="center" wrapText="1"/>
    </xf>
    <xf numFmtId="167" fontId="15" fillId="14" borderId="17" xfId="0" applyNumberFormat="1" applyFont="1" applyFill="1" applyBorder="1" applyAlignment="1">
      <alignment horizontal="center"/>
    </xf>
    <xf numFmtId="0" fontId="16" fillId="14" borderId="40" xfId="0" applyFont="1" applyFill="1" applyBorder="1" applyAlignment="1">
      <alignment horizontal="center"/>
    </xf>
    <xf numFmtId="0" fontId="16" fillId="14" borderId="41" xfId="0" applyFont="1" applyFill="1" applyBorder="1" applyAlignment="1">
      <alignment horizontal="center"/>
    </xf>
    <xf numFmtId="0" fontId="16" fillId="14" borderId="0" xfId="0" applyFont="1" applyFill="1" applyAlignment="1">
      <alignment horizontal="center"/>
    </xf>
    <xf numFmtId="0" fontId="16" fillId="14" borderId="36" xfId="0" applyFont="1" applyFill="1" applyBorder="1" applyAlignment="1">
      <alignment horizontal="center"/>
    </xf>
    <xf numFmtId="167" fontId="16" fillId="14" borderId="43" xfId="0" applyNumberFormat="1" applyFont="1" applyFill="1" applyBorder="1" applyAlignment="1">
      <alignment horizontal="left" vertical="center"/>
    </xf>
    <xf numFmtId="167" fontId="15" fillId="14" borderId="0" xfId="0" applyNumberFormat="1" applyFont="1" applyFill="1" applyAlignment="1">
      <alignment horizontal="left"/>
    </xf>
    <xf numFmtId="0" fontId="12" fillId="9" borderId="0" xfId="0" applyFont="1" applyFill="1" applyAlignment="1">
      <alignment horizontal="center" vertical="center"/>
    </xf>
    <xf numFmtId="0" fontId="17" fillId="0" borderId="2" xfId="0" applyFont="1" applyBorder="1" applyAlignment="1">
      <alignment wrapText="1"/>
    </xf>
    <xf numFmtId="9" fontId="10" fillId="0" borderId="0" xfId="0" applyNumberFormat="1" applyFont="1"/>
    <xf numFmtId="0" fontId="11" fillId="0" borderId="0" xfId="0" applyFont="1"/>
    <xf numFmtId="170" fontId="0" fillId="0" borderId="0" xfId="0" applyNumberFormat="1"/>
    <xf numFmtId="170" fontId="15" fillId="14" borderId="42" xfId="1" applyNumberFormat="1" applyFont="1" applyFill="1" applyBorder="1" applyAlignment="1">
      <alignment horizontal="center"/>
    </xf>
    <xf numFmtId="43" fontId="15" fillId="14" borderId="0" xfId="1" applyFont="1" applyFill="1" applyBorder="1" applyAlignment="1">
      <alignment horizontal="center"/>
    </xf>
    <xf numFmtId="167" fontId="14" fillId="0" borderId="0" xfId="0" applyNumberFormat="1" applyFont="1"/>
    <xf numFmtId="43" fontId="15" fillId="14" borderId="44" xfId="1" applyFont="1" applyFill="1" applyBorder="1" applyAlignment="1">
      <alignment horizontal="center"/>
    </xf>
    <xf numFmtId="167" fontId="0" fillId="0" borderId="44" xfId="0" applyNumberFormat="1" applyBorder="1"/>
    <xf numFmtId="171" fontId="0" fillId="12" borderId="5" xfId="0" applyNumberForma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 wrapText="1"/>
    </xf>
    <xf numFmtId="167" fontId="15" fillId="14" borderId="0" xfId="0" applyNumberFormat="1" applyFont="1" applyFill="1" applyAlignment="1">
      <alignment horizontal="center"/>
    </xf>
    <xf numFmtId="0" fontId="15" fillId="14" borderId="16" xfId="0" applyFont="1" applyFill="1" applyBorder="1" applyAlignment="1">
      <alignment horizontal="left" vertical="center"/>
    </xf>
    <xf numFmtId="0" fontId="15" fillId="14" borderId="16" xfId="0" applyFont="1" applyFill="1" applyBorder="1" applyAlignment="1">
      <alignment horizontal="left" vertical="center" wrapText="1"/>
    </xf>
    <xf numFmtId="0" fontId="15" fillId="14" borderId="46" xfId="0" applyFont="1" applyFill="1" applyBorder="1" applyAlignment="1">
      <alignment horizontal="left" vertical="center" wrapText="1"/>
    </xf>
    <xf numFmtId="0" fontId="15" fillId="14" borderId="1" xfId="0" applyFont="1" applyFill="1" applyBorder="1" applyAlignment="1">
      <alignment horizontal="left" vertical="center"/>
    </xf>
    <xf numFmtId="167" fontId="15" fillId="14" borderId="1" xfId="0" applyNumberFormat="1" applyFont="1" applyFill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0" fontId="15" fillId="14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164" fontId="0" fillId="11" borderId="1" xfId="0" applyNumberFormat="1" applyFill="1" applyBorder="1" applyAlignment="1">
      <alignment horizontal="center" vertical="center"/>
    </xf>
    <xf numFmtId="164" fontId="0" fillId="11" borderId="47" xfId="0" applyNumberFormat="1" applyFill="1" applyBorder="1" applyAlignment="1">
      <alignment horizontal="center" vertical="center"/>
    </xf>
    <xf numFmtId="164" fontId="0" fillId="11" borderId="1" xfId="0" applyNumberFormat="1" applyFill="1" applyBorder="1" applyAlignment="1">
      <alignment horizontal="center" vertical="center" wrapText="1"/>
    </xf>
    <xf numFmtId="0" fontId="7" fillId="11" borderId="48" xfId="0" applyFont="1" applyFill="1" applyBorder="1" applyAlignment="1">
      <alignment horizontal="center" vertical="center" wrapText="1"/>
    </xf>
    <xf numFmtId="4" fontId="8" fillId="11" borderId="49" xfId="0" applyNumberFormat="1" applyFont="1" applyFill="1" applyBorder="1" applyAlignment="1">
      <alignment horizontal="center" vertical="center" wrapText="1"/>
    </xf>
    <xf numFmtId="4" fontId="8" fillId="11" borderId="49" xfId="0" applyNumberFormat="1" applyFont="1" applyFill="1" applyBorder="1" applyAlignment="1">
      <alignment horizontal="center" vertical="center"/>
    </xf>
    <xf numFmtId="4" fontId="8" fillId="11" borderId="50" xfId="0" applyNumberFormat="1" applyFont="1" applyFill="1" applyBorder="1" applyAlignment="1">
      <alignment horizontal="center" vertical="center" wrapText="1"/>
    </xf>
    <xf numFmtId="0" fontId="0" fillId="11" borderId="51" xfId="0" applyFill="1" applyBorder="1" applyAlignment="1">
      <alignment vertical="center" wrapText="1"/>
    </xf>
    <xf numFmtId="164" fontId="0" fillId="11" borderId="52" xfId="0" applyNumberFormat="1" applyFill="1" applyBorder="1" applyAlignment="1">
      <alignment horizontal="center" vertical="center"/>
    </xf>
    <xf numFmtId="164" fontId="0" fillId="11" borderId="52" xfId="0" applyNumberFormat="1" applyFill="1" applyBorder="1" applyAlignment="1">
      <alignment horizontal="center" vertical="center" wrapText="1"/>
    </xf>
    <xf numFmtId="0" fontId="0" fillId="11" borderId="53" xfId="0" applyFill="1" applyBorder="1" applyAlignment="1">
      <alignment vertical="center" wrapText="1"/>
    </xf>
    <xf numFmtId="164" fontId="0" fillId="11" borderId="54" xfId="0" applyNumberFormat="1" applyFill="1" applyBorder="1" applyAlignment="1">
      <alignment horizontal="center" vertical="center"/>
    </xf>
    <xf numFmtId="164" fontId="0" fillId="0" borderId="11" xfId="0" applyNumberFormat="1" applyBorder="1"/>
    <xf numFmtId="0" fontId="0" fillId="0" borderId="11" xfId="0" applyBorder="1"/>
    <xf numFmtId="0" fontId="0" fillId="0" borderId="0" xfId="0" applyAlignment="1">
      <alignment horizontal="center" wrapText="1"/>
    </xf>
    <xf numFmtId="0" fontId="12" fillId="9" borderId="0" xfId="0" applyFont="1" applyFill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43" fontId="10" fillId="0" borderId="37" xfId="1" applyFont="1" applyBorder="1" applyAlignment="1">
      <alignment horizontal="center" vertical="center" wrapText="1"/>
    </xf>
    <xf numFmtId="43" fontId="10" fillId="0" borderId="38" xfId="1" applyFont="1" applyBorder="1" applyAlignment="1">
      <alignment horizontal="center" vertical="center" wrapText="1"/>
    </xf>
    <xf numFmtId="43" fontId="10" fillId="0" borderId="13" xfId="1" applyFont="1" applyBorder="1" applyAlignment="1">
      <alignment horizontal="center" vertical="center" wrapText="1"/>
    </xf>
    <xf numFmtId="0" fontId="12" fillId="10" borderId="0" xfId="0" applyFont="1" applyFill="1" applyAlignment="1">
      <alignment horizontal="center" vertical="center"/>
    </xf>
    <xf numFmtId="0" fontId="12" fillId="10" borderId="0" xfId="0" applyFont="1" applyFill="1" applyAlignment="1">
      <alignment horizontal="center" vertical="center" wrapText="1"/>
    </xf>
    <xf numFmtId="0" fontId="9" fillId="7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2" fontId="10" fillId="0" borderId="37" xfId="1" applyNumberFormat="1" applyFont="1" applyBorder="1" applyAlignment="1">
      <alignment horizontal="center" vertical="center" wrapText="1"/>
    </xf>
    <xf numFmtId="2" fontId="10" fillId="0" borderId="38" xfId="1" applyNumberFormat="1" applyFont="1" applyBorder="1" applyAlignment="1">
      <alignment horizontal="center" vertical="center" wrapText="1"/>
    </xf>
    <xf numFmtId="2" fontId="10" fillId="0" borderId="13" xfId="1" applyNumberFormat="1" applyFont="1" applyBorder="1" applyAlignment="1">
      <alignment horizontal="center" vertical="center" wrapText="1"/>
    </xf>
    <xf numFmtId="0" fontId="16" fillId="14" borderId="31" xfId="0" applyFont="1" applyFill="1" applyBorder="1" applyAlignment="1">
      <alignment horizontal="center" vertical="center"/>
    </xf>
    <xf numFmtId="0" fontId="16" fillId="14" borderId="32" xfId="0" applyFont="1" applyFill="1" applyBorder="1" applyAlignment="1">
      <alignment horizontal="center" vertical="center"/>
    </xf>
    <xf numFmtId="0" fontId="16" fillId="14" borderId="33" xfId="0" applyFont="1" applyFill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5" fillId="14" borderId="18" xfId="0" applyFont="1" applyFill="1" applyBorder="1" applyAlignment="1">
      <alignment horizontal="center" vertical="center"/>
    </xf>
    <xf numFmtId="0" fontId="15" fillId="14" borderId="27" xfId="0" applyFont="1" applyFill="1" applyBorder="1" applyAlignment="1">
      <alignment horizontal="center" vertical="center"/>
    </xf>
    <xf numFmtId="167" fontId="15" fillId="14" borderId="18" xfId="0" applyNumberFormat="1" applyFont="1" applyFill="1" applyBorder="1" applyAlignment="1">
      <alignment horizontal="center" vertical="center"/>
    </xf>
    <xf numFmtId="167" fontId="15" fillId="14" borderId="27" xfId="0" applyNumberFormat="1" applyFont="1" applyFill="1" applyBorder="1" applyAlignment="1">
      <alignment horizontal="center" vertical="center"/>
    </xf>
    <xf numFmtId="167" fontId="15" fillId="14" borderId="18" xfId="0" applyNumberFormat="1" applyFont="1" applyFill="1" applyBorder="1" applyAlignment="1">
      <alignment vertical="center"/>
    </xf>
    <xf numFmtId="167" fontId="15" fillId="14" borderId="27" xfId="0" applyNumberFormat="1" applyFont="1" applyFill="1" applyBorder="1" applyAlignment="1">
      <alignment vertical="center"/>
    </xf>
    <xf numFmtId="167" fontId="15" fillId="14" borderId="20" xfId="0" applyNumberFormat="1" applyFont="1" applyFill="1" applyBorder="1" applyAlignment="1">
      <alignment vertical="center"/>
    </xf>
    <xf numFmtId="167" fontId="15" fillId="14" borderId="30" xfId="0" applyNumberFormat="1" applyFont="1" applyFill="1" applyBorder="1" applyAlignment="1">
      <alignment vertical="center"/>
    </xf>
    <xf numFmtId="0" fontId="16" fillId="0" borderId="0" xfId="0" applyFont="1" applyAlignment="1">
      <alignment horizontal="left" vertical="center" wrapText="1"/>
    </xf>
    <xf numFmtId="167" fontId="15" fillId="14" borderId="20" xfId="0" applyNumberFormat="1" applyFont="1" applyFill="1" applyBorder="1" applyAlignment="1">
      <alignment horizontal="left" vertical="center"/>
    </xf>
    <xf numFmtId="167" fontId="15" fillId="14" borderId="30" xfId="0" applyNumberFormat="1" applyFont="1" applyFill="1" applyBorder="1" applyAlignment="1">
      <alignment horizontal="left" vertical="center"/>
    </xf>
    <xf numFmtId="0" fontId="16" fillId="14" borderId="21" xfId="0" applyFont="1" applyFill="1" applyBorder="1" applyAlignment="1">
      <alignment horizontal="center"/>
    </xf>
    <xf numFmtId="0" fontId="16" fillId="14" borderId="27" xfId="0" applyFont="1" applyFill="1" applyBorder="1" applyAlignment="1">
      <alignment horizontal="center"/>
    </xf>
    <xf numFmtId="0" fontId="16" fillId="14" borderId="44" xfId="0" applyFont="1" applyFill="1" applyBorder="1" applyAlignment="1">
      <alignment horizontal="center"/>
    </xf>
    <xf numFmtId="0" fontId="16" fillId="14" borderId="0" xfId="0" applyFont="1" applyFill="1" applyAlignment="1">
      <alignment horizont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7" fontId="15" fillId="14" borderId="20" xfId="0" applyNumberFormat="1" applyFont="1" applyFill="1" applyBorder="1" applyAlignment="1">
      <alignment horizontal="center" vertical="center"/>
    </xf>
    <xf numFmtId="167" fontId="15" fillId="14" borderId="30" xfId="0" applyNumberFormat="1" applyFont="1" applyFill="1" applyBorder="1" applyAlignment="1">
      <alignment horizontal="center" vertical="center"/>
    </xf>
    <xf numFmtId="169" fontId="15" fillId="14" borderId="18" xfId="1" applyNumberFormat="1" applyFont="1" applyFill="1" applyBorder="1" applyAlignment="1">
      <alignment horizontal="center" vertical="center"/>
    </xf>
    <xf numFmtId="169" fontId="15" fillId="14" borderId="27" xfId="1" applyNumberFormat="1" applyFont="1" applyFill="1" applyBorder="1" applyAlignment="1">
      <alignment horizontal="center" vertical="center"/>
    </xf>
    <xf numFmtId="4" fontId="8" fillId="0" borderId="6" xfId="0" applyNumberFormat="1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2623533</xdr:colOff>
      <xdr:row>125</xdr:row>
      <xdr:rowOff>44449</xdr:rowOff>
    </xdr:from>
    <xdr:ext cx="1367442" cy="29845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EB5C0798-C7AD-448F-88B0-207AA4AB0D78}"/>
                </a:ext>
              </a:extLst>
            </xdr:cNvPr>
            <xdr:cNvSpPr txBox="1"/>
          </xdr:nvSpPr>
          <xdr:spPr>
            <a:xfrm>
              <a:off x="3233133" y="25180924"/>
              <a:ext cx="1367442" cy="2984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100"/>
                <a:t>(</a:t>
              </a:r>
              <a14:m>
                <m:oMath xmlns:m="http://schemas.openxmlformats.org/officeDocument/2006/math">
                  <m:r>
                    <a:rPr lang="pt-BR" sz="1100" b="1" i="0">
                      <a:latin typeface="Cambria Math" panose="02040503050406030204" pitchFamily="18" charset="0"/>
                    </a:rPr>
                    <m:t>𝐂𝐈𝐓𝐋</m:t>
                  </m:r>
                  <m:r>
                    <a:rPr lang="pt-BR" sz="1100" b="1" i="1">
                      <a:latin typeface="Cambria Math" panose="02040503050406030204" pitchFamily="18" charset="0"/>
                    </a:rPr>
                    <m:t>=</m:t>
                  </m:r>
                  <m:f>
                    <m:fPr>
                      <m:ctrlPr>
                        <a:rPr lang="pt-BR" sz="1100" b="1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pt-BR" sz="1100" b="1" i="1">
                          <a:latin typeface="Cambria Math" panose="02040503050406030204" pitchFamily="18" charset="0"/>
                        </a:rPr>
                        <m:t>𝟏</m:t>
                      </m:r>
                      <m:r>
                        <a:rPr lang="pt-BR" sz="1100" b="1" i="1">
                          <a:latin typeface="Cambria Math" panose="02040503050406030204" pitchFamily="18" charset="0"/>
                        </a:rPr>
                        <m:t>+</m:t>
                      </m:r>
                      <m:r>
                        <a:rPr lang="pt-BR" sz="1100" b="1" i="1">
                          <a:latin typeface="Cambria Math" panose="02040503050406030204" pitchFamily="18" charset="0"/>
                        </a:rPr>
                        <m:t>𝑪𝑰</m:t>
                      </m:r>
                    </m:num>
                    <m:den>
                      <m:r>
                        <a:rPr lang="pt-BR" sz="1100" b="1" i="1">
                          <a:latin typeface="Cambria Math" panose="02040503050406030204" pitchFamily="18" charset="0"/>
                        </a:rPr>
                        <m:t>𝟏</m:t>
                      </m:r>
                      <m:r>
                        <a:rPr lang="pt-BR" sz="1100" b="1" i="1">
                          <a:latin typeface="Cambria Math" panose="02040503050406030204" pitchFamily="18" charset="0"/>
                        </a:rPr>
                        <m:t> −</m:t>
                      </m:r>
                      <m:r>
                        <a:rPr lang="pt-BR" sz="1100" b="1" i="1">
                          <a:latin typeface="Cambria Math" panose="02040503050406030204" pitchFamily="18" charset="0"/>
                        </a:rPr>
                        <m:t>𝑻</m:t>
                      </m:r>
                      <m:r>
                        <a:rPr lang="pt-BR" sz="1100" b="1" i="1">
                          <a:latin typeface="Cambria Math" panose="02040503050406030204" pitchFamily="18" charset="0"/>
                        </a:rPr>
                        <m:t>−</m:t>
                      </m:r>
                      <m:r>
                        <a:rPr lang="pt-BR" sz="1100" b="1" i="1">
                          <a:latin typeface="Cambria Math" panose="02040503050406030204" pitchFamily="18" charset="0"/>
                        </a:rPr>
                        <m:t>𝑳</m:t>
                      </m:r>
                    </m:den>
                  </m:f>
                </m:oMath>
              </a14:m>
              <a:r>
                <a:rPr lang="pt-BR" sz="1100" b="1"/>
                <a:t>)</a:t>
              </a:r>
            </a:p>
          </xdr:txBody>
        </xdr:sp>
      </mc:Choice>
      <mc:Fallback xmlns="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EB5C0798-C7AD-448F-88B0-207AA4AB0D78}"/>
                </a:ext>
              </a:extLst>
            </xdr:cNvPr>
            <xdr:cNvSpPr txBox="1"/>
          </xdr:nvSpPr>
          <xdr:spPr>
            <a:xfrm>
              <a:off x="3233133" y="25180924"/>
              <a:ext cx="1367442" cy="2984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100"/>
                <a:t>(</a:t>
              </a:r>
              <a:r>
                <a:rPr lang="pt-BR" sz="1100" b="1" i="0">
                  <a:latin typeface="Cambria Math" panose="02040503050406030204" pitchFamily="18" charset="0"/>
                </a:rPr>
                <a:t>𝐂𝐈𝐓𝐋=(𝟏+𝑪𝑰)/(𝟏 −𝑻−𝑳)</a:t>
              </a:r>
              <a:r>
                <a:rPr lang="pt-BR" sz="1100" b="1"/>
                <a:t>)</a:t>
              </a:r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2623533</xdr:colOff>
      <xdr:row>125</xdr:row>
      <xdr:rowOff>44449</xdr:rowOff>
    </xdr:from>
    <xdr:ext cx="1367442" cy="29845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7F335916-9675-45B6-8B38-F86353B39A0D}"/>
                </a:ext>
              </a:extLst>
            </xdr:cNvPr>
            <xdr:cNvSpPr txBox="1"/>
          </xdr:nvSpPr>
          <xdr:spPr>
            <a:xfrm>
              <a:off x="3233133" y="25180924"/>
              <a:ext cx="1367442" cy="2984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100"/>
                <a:t>(</a:t>
              </a:r>
              <a14:m>
                <m:oMath xmlns:m="http://schemas.openxmlformats.org/officeDocument/2006/math">
                  <m:r>
                    <a:rPr lang="pt-BR" sz="1100" b="1" i="0">
                      <a:latin typeface="Cambria Math" panose="02040503050406030204" pitchFamily="18" charset="0"/>
                    </a:rPr>
                    <m:t>𝐂𝐈𝐓𝐋</m:t>
                  </m:r>
                  <m:r>
                    <a:rPr lang="pt-BR" sz="1100" b="1" i="1">
                      <a:latin typeface="Cambria Math" panose="02040503050406030204" pitchFamily="18" charset="0"/>
                    </a:rPr>
                    <m:t>=</m:t>
                  </m:r>
                  <m:f>
                    <m:fPr>
                      <m:ctrlPr>
                        <a:rPr lang="pt-BR" sz="1100" b="1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pt-BR" sz="1100" b="1" i="1">
                          <a:latin typeface="Cambria Math" panose="02040503050406030204" pitchFamily="18" charset="0"/>
                        </a:rPr>
                        <m:t>𝟏</m:t>
                      </m:r>
                      <m:r>
                        <a:rPr lang="pt-BR" sz="1100" b="1" i="1">
                          <a:latin typeface="Cambria Math" panose="02040503050406030204" pitchFamily="18" charset="0"/>
                        </a:rPr>
                        <m:t>+</m:t>
                      </m:r>
                      <m:r>
                        <a:rPr lang="pt-BR" sz="1100" b="1" i="1">
                          <a:latin typeface="Cambria Math" panose="02040503050406030204" pitchFamily="18" charset="0"/>
                        </a:rPr>
                        <m:t>𝑪𝑰</m:t>
                      </m:r>
                    </m:num>
                    <m:den>
                      <m:r>
                        <a:rPr lang="pt-BR" sz="1100" b="1" i="1">
                          <a:latin typeface="Cambria Math" panose="02040503050406030204" pitchFamily="18" charset="0"/>
                        </a:rPr>
                        <m:t>𝟏</m:t>
                      </m:r>
                      <m:r>
                        <a:rPr lang="pt-BR" sz="1100" b="1" i="1">
                          <a:latin typeface="Cambria Math" panose="02040503050406030204" pitchFamily="18" charset="0"/>
                        </a:rPr>
                        <m:t> −</m:t>
                      </m:r>
                      <m:r>
                        <a:rPr lang="pt-BR" sz="1100" b="1" i="1">
                          <a:latin typeface="Cambria Math" panose="02040503050406030204" pitchFamily="18" charset="0"/>
                        </a:rPr>
                        <m:t>𝑻</m:t>
                      </m:r>
                      <m:r>
                        <a:rPr lang="pt-BR" sz="1100" b="1" i="1">
                          <a:latin typeface="Cambria Math" panose="02040503050406030204" pitchFamily="18" charset="0"/>
                        </a:rPr>
                        <m:t>−</m:t>
                      </m:r>
                      <m:r>
                        <a:rPr lang="pt-BR" sz="1100" b="1" i="1">
                          <a:latin typeface="Cambria Math" panose="02040503050406030204" pitchFamily="18" charset="0"/>
                        </a:rPr>
                        <m:t>𝑳</m:t>
                      </m:r>
                    </m:den>
                  </m:f>
                </m:oMath>
              </a14:m>
              <a:r>
                <a:rPr lang="pt-BR" sz="1100" b="1"/>
                <a:t>)</a:t>
              </a:r>
            </a:p>
          </xdr:txBody>
        </xdr:sp>
      </mc:Choice>
      <mc:Fallback xmlns="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7F335916-9675-45B6-8B38-F86353B39A0D}"/>
                </a:ext>
              </a:extLst>
            </xdr:cNvPr>
            <xdr:cNvSpPr txBox="1"/>
          </xdr:nvSpPr>
          <xdr:spPr>
            <a:xfrm>
              <a:off x="3233133" y="25180924"/>
              <a:ext cx="1367442" cy="2984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100"/>
                <a:t>(</a:t>
              </a:r>
              <a:r>
                <a:rPr lang="pt-BR" sz="1100" b="1" i="0">
                  <a:latin typeface="Cambria Math" panose="02040503050406030204" pitchFamily="18" charset="0"/>
                </a:rPr>
                <a:t>𝐂𝐈𝐓𝐋=(𝟏+𝑪𝑰)/(𝟏 −𝑻−𝑳)</a:t>
              </a:r>
              <a:r>
                <a:rPr lang="pt-BR" sz="1100" b="1"/>
                <a:t>)</a:t>
              </a: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5"/>
  <sheetViews>
    <sheetView zoomScale="130" zoomScaleNormal="130" workbookViewId="0">
      <selection activeCell="B13" sqref="B13"/>
    </sheetView>
  </sheetViews>
  <sheetFormatPr defaultRowHeight="15" x14ac:dyDescent="0.25"/>
  <cols>
    <col min="1" max="1" width="30.28515625" bestFit="1" customWidth="1"/>
    <col min="2" max="2" width="9.7109375" customWidth="1"/>
    <col min="3" max="3" width="15.85546875" bestFit="1" customWidth="1"/>
    <col min="4" max="4" width="15" bestFit="1" customWidth="1"/>
    <col min="5" max="5" width="13.140625" bestFit="1" customWidth="1"/>
  </cols>
  <sheetData>
    <row r="2" spans="1:5" x14ac:dyDescent="0.25">
      <c r="A2" s="15" t="s">
        <v>0</v>
      </c>
      <c r="B2" s="11" t="s">
        <v>1</v>
      </c>
      <c r="C2" s="11" t="s">
        <v>2</v>
      </c>
      <c r="D2" s="11" t="s">
        <v>3</v>
      </c>
      <c r="E2" s="11" t="s">
        <v>4</v>
      </c>
    </row>
    <row r="3" spans="1:5" x14ac:dyDescent="0.25">
      <c r="A3" s="10" t="s">
        <v>5</v>
      </c>
      <c r="B3" s="12" t="e">
        <f>#REF!</f>
        <v>#REF!</v>
      </c>
      <c r="C3" s="12" t="e">
        <f>#REF!</f>
        <v>#REF!</v>
      </c>
      <c r="D3" s="13" t="e">
        <f>#REF!</f>
        <v>#REF!</v>
      </c>
      <c r="E3" s="14" t="e">
        <f>#REF!</f>
        <v>#REF!</v>
      </c>
    </row>
    <row r="4" spans="1:5" x14ac:dyDescent="0.25">
      <c r="A4" s="10" t="s">
        <v>6</v>
      </c>
      <c r="B4" s="12" t="e">
        <f>#REF!</f>
        <v>#REF!</v>
      </c>
      <c r="C4" s="12" t="e">
        <f>#REF!</f>
        <v>#REF!</v>
      </c>
      <c r="D4" s="13" t="e">
        <f>#REF!</f>
        <v>#REF!</v>
      </c>
      <c r="E4" s="14" t="e">
        <f>#REF!</f>
        <v>#REF!</v>
      </c>
    </row>
    <row r="5" spans="1:5" x14ac:dyDescent="0.25">
      <c r="A5" s="10" t="s">
        <v>7</v>
      </c>
      <c r="B5" s="12" t="e">
        <f>#REF!</f>
        <v>#REF!</v>
      </c>
      <c r="C5" s="12" t="e">
        <f>#REF!</f>
        <v>#REF!</v>
      </c>
      <c r="D5" s="13" t="e">
        <f>#REF!</f>
        <v>#REF!</v>
      </c>
      <c r="E5" s="14" t="e">
        <f>#REF!</f>
        <v>#REF!</v>
      </c>
    </row>
    <row r="6" spans="1:5" x14ac:dyDescent="0.25">
      <c r="A6" s="10" t="s">
        <v>8</v>
      </c>
      <c r="B6" s="12" t="e">
        <f>#REF!</f>
        <v>#REF!</v>
      </c>
      <c r="C6" s="12" t="e">
        <f>#REF!</f>
        <v>#REF!</v>
      </c>
      <c r="D6" s="13" t="e">
        <f>#REF!</f>
        <v>#REF!</v>
      </c>
      <c r="E6" s="14" t="e">
        <f>#REF!</f>
        <v>#REF!</v>
      </c>
    </row>
    <row r="7" spans="1:5" x14ac:dyDescent="0.25">
      <c r="A7" s="10" t="s">
        <v>9</v>
      </c>
      <c r="B7" s="12" t="e">
        <f>#REF!</f>
        <v>#REF!</v>
      </c>
      <c r="C7" s="12" t="e">
        <f>#REF!</f>
        <v>#REF!</v>
      </c>
      <c r="D7" s="13" t="e">
        <f>#REF!</f>
        <v>#REF!</v>
      </c>
      <c r="E7" s="14" t="e">
        <f>#REF!</f>
        <v>#REF!</v>
      </c>
    </row>
    <row r="8" spans="1:5" x14ac:dyDescent="0.25">
      <c r="A8" s="10" t="s">
        <v>10</v>
      </c>
      <c r="B8" s="12" t="e">
        <f>#REF!</f>
        <v>#REF!</v>
      </c>
      <c r="C8" s="12" t="e">
        <f>#REF!</f>
        <v>#REF!</v>
      </c>
      <c r="D8" s="13" t="e">
        <f>#REF!</f>
        <v>#REF!</v>
      </c>
      <c r="E8" s="14" t="e">
        <f>#REF!</f>
        <v>#REF!</v>
      </c>
    </row>
    <row r="9" spans="1:5" x14ac:dyDescent="0.25">
      <c r="A9" s="10" t="s">
        <v>11</v>
      </c>
      <c r="B9" s="12" t="e">
        <f>#REF!</f>
        <v>#REF!</v>
      </c>
      <c r="C9" s="12" t="e">
        <f>#REF!</f>
        <v>#REF!</v>
      </c>
      <c r="D9" s="13" t="e">
        <f>#REF!</f>
        <v>#REF!</v>
      </c>
      <c r="E9" s="14" t="e">
        <f>#REF!</f>
        <v>#REF!</v>
      </c>
    </row>
    <row r="10" spans="1:5" x14ac:dyDescent="0.25">
      <c r="A10" s="10" t="s">
        <v>12</v>
      </c>
      <c r="B10" s="12" t="e">
        <f>#REF!</f>
        <v>#REF!</v>
      </c>
      <c r="C10" s="12" t="e">
        <f>#REF!</f>
        <v>#REF!</v>
      </c>
      <c r="D10" s="13" t="e">
        <f>#REF!</f>
        <v>#REF!</v>
      </c>
      <c r="E10" s="14" t="e">
        <f>#REF!</f>
        <v>#REF!</v>
      </c>
    </row>
    <row r="11" spans="1:5" x14ac:dyDescent="0.25">
      <c r="A11" s="10" t="s">
        <v>13</v>
      </c>
      <c r="B11" s="12" t="e">
        <f>#REF!</f>
        <v>#REF!</v>
      </c>
      <c r="C11" s="12" t="e">
        <f>#REF!</f>
        <v>#REF!</v>
      </c>
      <c r="D11" s="13" t="e">
        <f>#REF!</f>
        <v>#REF!</v>
      </c>
      <c r="E11" s="14" t="e">
        <f>#REF!</f>
        <v>#REF!</v>
      </c>
    </row>
    <row r="12" spans="1:5" x14ac:dyDescent="0.25">
      <c r="A12" s="10" t="s">
        <v>14</v>
      </c>
      <c r="B12" s="12" t="e">
        <f>#REF!</f>
        <v>#REF!</v>
      </c>
      <c r="C12" s="12" t="e">
        <f>#REF!</f>
        <v>#REF!</v>
      </c>
      <c r="D12" s="13" t="e">
        <f>#REF!</f>
        <v>#REF!</v>
      </c>
      <c r="E12" s="14" t="e">
        <f>#REF!</f>
        <v>#REF!</v>
      </c>
    </row>
    <row r="13" spans="1:5" ht="30" x14ac:dyDescent="0.25">
      <c r="A13" s="10" t="s">
        <v>15</v>
      </c>
      <c r="B13" s="12" t="e">
        <f>#REF!</f>
        <v>#REF!</v>
      </c>
      <c r="C13" s="12" t="e">
        <f>#REF!</f>
        <v>#REF!</v>
      </c>
      <c r="D13" s="13" t="e">
        <f>#REF!</f>
        <v>#REF!</v>
      </c>
      <c r="E13" s="14" t="e">
        <f>#REF!</f>
        <v>#REF!</v>
      </c>
    </row>
    <row r="14" spans="1:5" ht="30" x14ac:dyDescent="0.25">
      <c r="A14" s="10" t="s">
        <v>16</v>
      </c>
      <c r="B14" s="12" t="e">
        <f>#REF!</f>
        <v>#REF!</v>
      </c>
      <c r="C14" s="12" t="e">
        <f>#REF!</f>
        <v>#REF!</v>
      </c>
      <c r="D14" s="13" t="e">
        <f>#REF!</f>
        <v>#REF!</v>
      </c>
      <c r="E14" s="14" t="e">
        <f>#REF!</f>
        <v>#REF!</v>
      </c>
    </row>
    <row r="15" spans="1:5" x14ac:dyDescent="0.25">
      <c r="A15" s="10" t="s">
        <v>17</v>
      </c>
      <c r="B15" s="12" t="e">
        <f>#REF!</f>
        <v>#REF!</v>
      </c>
      <c r="C15" s="12" t="e">
        <f>#REF!</f>
        <v>#REF!</v>
      </c>
      <c r="D15" s="13" t="e">
        <f>#REF!</f>
        <v>#REF!</v>
      </c>
      <c r="E15" s="14" t="e">
        <f>#REF!</f>
        <v>#REF!</v>
      </c>
    </row>
  </sheetData>
  <pageMargins left="0.511811024" right="0.511811024" top="0.78740157499999996" bottom="0.78740157499999996" header="0.31496062000000002" footer="0.31496062000000002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F5B2A-FAED-4B96-B4C8-158D3EA81856}">
  <dimension ref="A1:D145"/>
  <sheetViews>
    <sheetView topLeftCell="A123" zoomScaleNormal="100" workbookViewId="0">
      <selection activeCell="A141" sqref="A141"/>
    </sheetView>
  </sheetViews>
  <sheetFormatPr defaultColWidth="9.140625" defaultRowHeight="15.75" x14ac:dyDescent="0.25"/>
  <cols>
    <col min="1" max="1" width="9.140625" style="16"/>
    <col min="2" max="2" width="73" style="16" customWidth="1"/>
    <col min="3" max="3" width="18" style="16" customWidth="1"/>
    <col min="4" max="4" width="14.28515625" style="16" customWidth="1"/>
    <col min="5" max="5" width="12.7109375" style="16" customWidth="1"/>
    <col min="6" max="6" width="12" style="16" customWidth="1"/>
    <col min="7" max="7" width="15.140625" style="16" customWidth="1"/>
    <col min="8" max="16384" width="9.140625" style="16"/>
  </cols>
  <sheetData>
    <row r="1" spans="1:4" ht="23.25" x14ac:dyDescent="0.35">
      <c r="A1" s="142" t="s">
        <v>18</v>
      </c>
      <c r="B1" s="142"/>
      <c r="C1" s="142"/>
      <c r="D1" s="142"/>
    </row>
    <row r="2" spans="1:4" ht="23.25" x14ac:dyDescent="0.35">
      <c r="A2" s="142" t="s">
        <v>19</v>
      </c>
      <c r="B2" s="142"/>
      <c r="C2" s="142"/>
      <c r="D2" s="142"/>
    </row>
    <row r="3" spans="1:4" x14ac:dyDescent="0.25">
      <c r="A3" s="143" t="s">
        <v>20</v>
      </c>
      <c r="B3" s="143"/>
      <c r="C3" s="143"/>
      <c r="D3" s="143"/>
    </row>
    <row r="4" spans="1:4" x14ac:dyDescent="0.25">
      <c r="A4" s="17"/>
      <c r="B4" s="17" t="s">
        <v>21</v>
      </c>
      <c r="C4" s="17" t="s">
        <v>22</v>
      </c>
      <c r="D4" s="18"/>
    </row>
    <row r="5" spans="1:4" ht="15.75" customHeight="1" x14ac:dyDescent="0.25">
      <c r="A5" s="18"/>
      <c r="B5" s="18"/>
      <c r="C5" s="17" t="s">
        <v>230</v>
      </c>
      <c r="D5" s="18"/>
    </row>
    <row r="6" spans="1:4" ht="31.5" x14ac:dyDescent="0.25">
      <c r="A6" s="18"/>
      <c r="B6" s="17" t="s">
        <v>24</v>
      </c>
      <c r="C6" s="44" t="s">
        <v>25</v>
      </c>
      <c r="D6" s="18"/>
    </row>
    <row r="7" spans="1:4" x14ac:dyDescent="0.25">
      <c r="A7" s="95" t="s">
        <v>26</v>
      </c>
      <c r="B7" s="95"/>
      <c r="C7" s="95"/>
    </row>
    <row r="9" spans="1:4" ht="16.5" thickBot="1" x14ac:dyDescent="0.3">
      <c r="A9" s="19">
        <v>1</v>
      </c>
      <c r="B9" s="20" t="s">
        <v>27</v>
      </c>
      <c r="C9" s="20" t="s">
        <v>28</v>
      </c>
    </row>
    <row r="10" spans="1:4" x14ac:dyDescent="0.25">
      <c r="A10" s="21" t="s">
        <v>29</v>
      </c>
      <c r="B10" s="22" t="s">
        <v>30</v>
      </c>
      <c r="C10" s="23">
        <v>1809.58</v>
      </c>
    </row>
    <row r="11" spans="1:4" ht="16.5" thickBot="1" x14ac:dyDescent="0.3">
      <c r="A11" s="21" t="s">
        <v>31</v>
      </c>
      <c r="B11" s="22" t="s">
        <v>32</v>
      </c>
      <c r="C11" s="23"/>
    </row>
    <row r="12" spans="1:4" ht="16.5" thickBot="1" x14ac:dyDescent="0.3">
      <c r="A12" s="21" t="s">
        <v>33</v>
      </c>
      <c r="B12" s="22" t="s">
        <v>34</v>
      </c>
      <c r="C12" s="23"/>
    </row>
    <row r="13" spans="1:4" ht="16.5" thickBot="1" x14ac:dyDescent="0.3">
      <c r="A13" s="21" t="s">
        <v>35</v>
      </c>
      <c r="B13" s="22" t="s">
        <v>36</v>
      </c>
      <c r="C13" s="23"/>
    </row>
    <row r="14" spans="1:4" ht="16.5" thickBot="1" x14ac:dyDescent="0.3">
      <c r="A14" s="21" t="s">
        <v>37</v>
      </c>
      <c r="B14" s="22" t="s">
        <v>38</v>
      </c>
      <c r="C14" s="23"/>
    </row>
    <row r="15" spans="1:4" ht="16.5" thickBot="1" x14ac:dyDescent="0.3">
      <c r="A15" s="21" t="s">
        <v>39</v>
      </c>
      <c r="B15" s="22" t="s">
        <v>40</v>
      </c>
      <c r="C15" s="23"/>
    </row>
    <row r="16" spans="1:4" ht="16.5" thickBot="1" x14ac:dyDescent="0.3">
      <c r="A16" s="21" t="s">
        <v>41</v>
      </c>
      <c r="B16" s="22" t="s">
        <v>42</v>
      </c>
      <c r="C16" s="23"/>
    </row>
    <row r="17" spans="1:4" ht="16.5" thickBot="1" x14ac:dyDescent="0.3">
      <c r="A17" s="135" t="s">
        <v>43</v>
      </c>
      <c r="B17" s="136"/>
      <c r="C17" s="24">
        <f>SUM(C10:C16)</f>
        <v>1809.58</v>
      </c>
    </row>
    <row r="18" spans="1:4" x14ac:dyDescent="0.25">
      <c r="D18" s="77"/>
    </row>
    <row r="20" spans="1:4" x14ac:dyDescent="0.25">
      <c r="A20" s="134" t="s">
        <v>44</v>
      </c>
      <c r="B20" s="134"/>
      <c r="C20" s="134"/>
    </row>
    <row r="21" spans="1:4" x14ac:dyDescent="0.25">
      <c r="A21" s="25"/>
    </row>
    <row r="22" spans="1:4" x14ac:dyDescent="0.25">
      <c r="A22" s="140" t="s">
        <v>45</v>
      </c>
      <c r="B22" s="140"/>
      <c r="C22" s="140"/>
    </row>
    <row r="23" spans="1:4" ht="16.5" thickBot="1" x14ac:dyDescent="0.3"/>
    <row r="24" spans="1:4" ht="16.5" thickBot="1" x14ac:dyDescent="0.3">
      <c r="A24" s="19" t="s">
        <v>46</v>
      </c>
      <c r="B24" s="20" t="s">
        <v>47</v>
      </c>
      <c r="C24" s="20" t="s">
        <v>28</v>
      </c>
    </row>
    <row r="25" spans="1:4" ht="16.5" thickBot="1" x14ac:dyDescent="0.3">
      <c r="A25" s="21" t="s">
        <v>29</v>
      </c>
      <c r="B25" s="22" t="s">
        <v>48</v>
      </c>
      <c r="C25" s="23">
        <f>C17*D25</f>
        <v>150.73801399999999</v>
      </c>
      <c r="D25" s="76">
        <v>8.3299999999999999E-2</v>
      </c>
    </row>
    <row r="26" spans="1:4" ht="16.5" thickBot="1" x14ac:dyDescent="0.3">
      <c r="A26" s="21" t="s">
        <v>31</v>
      </c>
      <c r="B26" s="22" t="s">
        <v>49</v>
      </c>
      <c r="C26" s="45">
        <f>C17*D26</f>
        <v>50.306323999999996</v>
      </c>
      <c r="D26" s="79">
        <v>2.7799999999999998E-2</v>
      </c>
    </row>
    <row r="27" spans="1:4" ht="16.5" thickBot="1" x14ac:dyDescent="0.3">
      <c r="A27" s="135" t="s">
        <v>50</v>
      </c>
      <c r="B27" s="136"/>
      <c r="C27" s="23">
        <f>C26+C25</f>
        <v>201.04433799999998</v>
      </c>
      <c r="D27" s="76">
        <f>SUM(D25:D26)</f>
        <v>0.1111</v>
      </c>
    </row>
    <row r="28" spans="1:4" ht="16.5" hidden="1" thickBot="1" x14ac:dyDescent="0.3">
      <c r="A28" s="135" t="s">
        <v>51</v>
      </c>
      <c r="B28" s="136"/>
      <c r="C28" s="23">
        <f>C27*C42</f>
        <v>73.98431638400001</v>
      </c>
    </row>
    <row r="29" spans="1:4" ht="16.5" hidden="1" thickBot="1" x14ac:dyDescent="0.3">
      <c r="A29" s="135" t="s">
        <v>43</v>
      </c>
      <c r="B29" s="136"/>
      <c r="C29" s="23">
        <f>C28+C27</f>
        <v>275.02865438399999</v>
      </c>
    </row>
    <row r="31" spans="1:4" ht="32.25" customHeight="1" x14ac:dyDescent="0.25">
      <c r="A31" s="141" t="s">
        <v>52</v>
      </c>
      <c r="B31" s="141"/>
      <c r="C31" s="141"/>
      <c r="D31" s="141"/>
    </row>
    <row r="32" spans="1:4" ht="16.5" thickBot="1" x14ac:dyDescent="0.3"/>
    <row r="33" spans="1:4" ht="16.5" thickBot="1" x14ac:dyDescent="0.3">
      <c r="A33" s="19" t="s">
        <v>53</v>
      </c>
      <c r="B33" s="20" t="s">
        <v>54</v>
      </c>
      <c r="C33" s="20" t="s">
        <v>55</v>
      </c>
      <c r="D33" s="20" t="s">
        <v>28</v>
      </c>
    </row>
    <row r="34" spans="1:4" ht="16.5" thickBot="1" x14ac:dyDescent="0.3">
      <c r="A34" s="21" t="s">
        <v>29</v>
      </c>
      <c r="B34" s="22" t="s">
        <v>56</v>
      </c>
      <c r="C34" s="26">
        <v>0.2</v>
      </c>
      <c r="D34" s="23">
        <f>C34*($C$17+$C$27)</f>
        <v>402.12486760000002</v>
      </c>
    </row>
    <row r="35" spans="1:4" ht="16.5" thickBot="1" x14ac:dyDescent="0.3">
      <c r="A35" s="21" t="s">
        <v>31</v>
      </c>
      <c r="B35" s="22" t="s">
        <v>57</v>
      </c>
      <c r="C35" s="26">
        <v>2.5000000000000001E-2</v>
      </c>
      <c r="D35" s="23">
        <f t="shared" ref="D35:D40" si="0">C35*($C$17+$C$27)</f>
        <v>50.265608450000002</v>
      </c>
    </row>
    <row r="36" spans="1:4" ht="16.5" thickBot="1" x14ac:dyDescent="0.3">
      <c r="A36" s="21" t="s">
        <v>33</v>
      </c>
      <c r="B36" s="22" t="s">
        <v>58</v>
      </c>
      <c r="C36" s="26">
        <v>0.03</v>
      </c>
      <c r="D36" s="23">
        <f t="shared" si="0"/>
        <v>60.318730139999992</v>
      </c>
    </row>
    <row r="37" spans="1:4" ht="16.5" thickBot="1" x14ac:dyDescent="0.3">
      <c r="A37" s="21" t="s">
        <v>35</v>
      </c>
      <c r="B37" s="22" t="s">
        <v>59</v>
      </c>
      <c r="C37" s="26">
        <v>1.4999999999999999E-2</v>
      </c>
      <c r="D37" s="23">
        <f t="shared" si="0"/>
        <v>30.159365069999996</v>
      </c>
    </row>
    <row r="38" spans="1:4" ht="16.5" thickBot="1" x14ac:dyDescent="0.3">
      <c r="A38" s="21" t="s">
        <v>37</v>
      </c>
      <c r="B38" s="22" t="s">
        <v>60</v>
      </c>
      <c r="C38" s="26">
        <v>0.01</v>
      </c>
      <c r="D38" s="23">
        <f t="shared" si="0"/>
        <v>20.106243379999999</v>
      </c>
    </row>
    <row r="39" spans="1:4" ht="16.5" thickBot="1" x14ac:dyDescent="0.3">
      <c r="A39" s="21" t="s">
        <v>61</v>
      </c>
      <c r="B39" s="22" t="s">
        <v>62</v>
      </c>
      <c r="C39" s="26">
        <v>6.0000000000000001E-3</v>
      </c>
      <c r="D39" s="23">
        <f t="shared" si="0"/>
        <v>12.063746027999999</v>
      </c>
    </row>
    <row r="40" spans="1:4" ht="16.5" thickBot="1" x14ac:dyDescent="0.3">
      <c r="A40" s="21" t="s">
        <v>41</v>
      </c>
      <c r="B40" s="22" t="s">
        <v>63</v>
      </c>
      <c r="C40" s="26">
        <v>2E-3</v>
      </c>
      <c r="D40" s="23">
        <f t="shared" si="0"/>
        <v>4.0212486759999999</v>
      </c>
    </row>
    <row r="41" spans="1:4" ht="16.5" thickBot="1" x14ac:dyDescent="0.3">
      <c r="A41" s="21" t="s">
        <v>64</v>
      </c>
      <c r="B41" s="22" t="s">
        <v>65</v>
      </c>
      <c r="C41" s="26">
        <v>0.08</v>
      </c>
      <c r="D41" s="23">
        <f>C41*($C$17+$C$27)</f>
        <v>160.84994703999999</v>
      </c>
    </row>
    <row r="42" spans="1:4" ht="16.5" thickBot="1" x14ac:dyDescent="0.3">
      <c r="A42" s="135" t="s">
        <v>66</v>
      </c>
      <c r="B42" s="136"/>
      <c r="C42" s="26">
        <f>SUM(C34:C41)</f>
        <v>0.36800000000000005</v>
      </c>
      <c r="D42" s="23">
        <f>SUM(D34:D41)</f>
        <v>739.90975638400005</v>
      </c>
    </row>
    <row r="45" spans="1:4" x14ac:dyDescent="0.25">
      <c r="A45" s="140" t="s">
        <v>67</v>
      </c>
      <c r="B45" s="140"/>
      <c r="C45" s="140"/>
    </row>
    <row r="46" spans="1:4" ht="16.5" thickBot="1" x14ac:dyDescent="0.3"/>
    <row r="47" spans="1:4" ht="16.5" thickBot="1" x14ac:dyDescent="0.3">
      <c r="A47" s="19" t="s">
        <v>68</v>
      </c>
      <c r="B47" s="20" t="s">
        <v>69</v>
      </c>
      <c r="C47" s="20" t="s">
        <v>28</v>
      </c>
    </row>
    <row r="48" spans="1:4" x14ac:dyDescent="0.25">
      <c r="A48" s="21" t="s">
        <v>29</v>
      </c>
      <c r="B48" s="22" t="s">
        <v>70</v>
      </c>
      <c r="C48" s="23">
        <v>155.43</v>
      </c>
    </row>
    <row r="49" spans="1:3" x14ac:dyDescent="0.25">
      <c r="A49" s="21" t="s">
        <v>31</v>
      </c>
      <c r="B49" s="22" t="s">
        <v>71</v>
      </c>
      <c r="C49" s="23">
        <v>200</v>
      </c>
    </row>
    <row r="50" spans="1:3" x14ac:dyDescent="0.25">
      <c r="A50" s="21" t="s">
        <v>33</v>
      </c>
      <c r="B50" s="22" t="s">
        <v>72</v>
      </c>
      <c r="C50" s="23">
        <v>137.97999999999999</v>
      </c>
    </row>
    <row r="51" spans="1:3" x14ac:dyDescent="0.25">
      <c r="A51" s="21" t="s">
        <v>35</v>
      </c>
      <c r="B51" s="22" t="s">
        <v>73</v>
      </c>
      <c r="C51" s="23">
        <v>16.13</v>
      </c>
    </row>
    <row r="52" spans="1:3" ht="16.5" thickBot="1" x14ac:dyDescent="0.3">
      <c r="A52" s="21" t="s">
        <v>37</v>
      </c>
      <c r="B52" s="22" t="s">
        <v>74</v>
      </c>
      <c r="C52" s="23"/>
    </row>
    <row r="53" spans="1:3" ht="16.5" thickBot="1" x14ac:dyDescent="0.3">
      <c r="A53" s="107" t="s">
        <v>61</v>
      </c>
      <c r="B53" s="22" t="s">
        <v>189</v>
      </c>
      <c r="C53" s="23">
        <v>5.6</v>
      </c>
    </row>
    <row r="54" spans="1:3" ht="16.5" thickBot="1" x14ac:dyDescent="0.3">
      <c r="A54" s="135" t="s">
        <v>43</v>
      </c>
      <c r="B54" s="136"/>
      <c r="C54" s="23">
        <f>SUM(C48:C53)</f>
        <v>515.14</v>
      </c>
    </row>
    <row r="57" spans="1:3" x14ac:dyDescent="0.25">
      <c r="A57" s="140" t="s">
        <v>75</v>
      </c>
      <c r="B57" s="140"/>
      <c r="C57" s="140"/>
    </row>
    <row r="58" spans="1:3" ht="16.5" thickBot="1" x14ac:dyDescent="0.3"/>
    <row r="59" spans="1:3" ht="16.5" thickBot="1" x14ac:dyDescent="0.3">
      <c r="A59" s="19">
        <v>2</v>
      </c>
      <c r="B59" s="20" t="s">
        <v>76</v>
      </c>
      <c r="C59" s="20" t="s">
        <v>28</v>
      </c>
    </row>
    <row r="60" spans="1:3" ht="16.5" thickBot="1" x14ac:dyDescent="0.3">
      <c r="A60" s="21" t="s">
        <v>46</v>
      </c>
      <c r="B60" s="22" t="s">
        <v>47</v>
      </c>
      <c r="C60" s="23">
        <f>C27</f>
        <v>201.04433799999998</v>
      </c>
    </row>
    <row r="61" spans="1:3" ht="16.5" thickBot="1" x14ac:dyDescent="0.3">
      <c r="A61" s="21" t="s">
        <v>53</v>
      </c>
      <c r="B61" s="22" t="s">
        <v>54</v>
      </c>
      <c r="C61" s="23">
        <f>D42</f>
        <v>739.90975638400005</v>
      </c>
    </row>
    <row r="62" spans="1:3" ht="16.5" thickBot="1" x14ac:dyDescent="0.3">
      <c r="A62" s="21" t="s">
        <v>68</v>
      </c>
      <c r="B62" s="22" t="s">
        <v>69</v>
      </c>
      <c r="C62" s="23">
        <f>C54</f>
        <v>515.14</v>
      </c>
    </row>
    <row r="63" spans="1:3" ht="16.5" thickBot="1" x14ac:dyDescent="0.3">
      <c r="A63" s="135" t="s">
        <v>43</v>
      </c>
      <c r="B63" s="136"/>
      <c r="C63" s="23">
        <f>SUM(C60:C62)</f>
        <v>1456.0940943840001</v>
      </c>
    </row>
    <row r="64" spans="1:3" x14ac:dyDescent="0.25">
      <c r="A64" s="27"/>
    </row>
    <row r="66" spans="1:4" x14ac:dyDescent="0.25">
      <c r="A66" s="134" t="s">
        <v>77</v>
      </c>
      <c r="B66" s="134"/>
      <c r="C66" s="134"/>
    </row>
    <row r="67" spans="1:4" ht="16.5" thickBot="1" x14ac:dyDescent="0.3"/>
    <row r="68" spans="1:4" ht="16.5" thickBot="1" x14ac:dyDescent="0.3">
      <c r="A68" s="19">
        <v>3</v>
      </c>
      <c r="B68" s="20" t="s">
        <v>78</v>
      </c>
      <c r="C68" s="20" t="s">
        <v>55</v>
      </c>
      <c r="D68" s="20" t="s">
        <v>28</v>
      </c>
    </row>
    <row r="69" spans="1:4" ht="16.5" thickBot="1" x14ac:dyDescent="0.3">
      <c r="A69" s="21" t="s">
        <v>29</v>
      </c>
      <c r="B69" s="28" t="s">
        <v>79</v>
      </c>
      <c r="C69" s="78">
        <f>(1/60)*5%</f>
        <v>8.3333333333333339E-4</v>
      </c>
      <c r="D69" s="45">
        <f>C69*$C$17</f>
        <v>1.5079833333333335</v>
      </c>
    </row>
    <row r="70" spans="1:4" ht="16.5" thickBot="1" x14ac:dyDescent="0.3">
      <c r="A70" s="21" t="s">
        <v>31</v>
      </c>
      <c r="B70" s="28" t="s">
        <v>80</v>
      </c>
      <c r="C70" s="78">
        <f>C69*8%</f>
        <v>6.666666666666667E-5</v>
      </c>
      <c r="D70" s="45">
        <f t="shared" ref="D70:D73" si="1">C70*$C$17</f>
        <v>0.12063866666666667</v>
      </c>
    </row>
    <row r="71" spans="1:4" x14ac:dyDescent="0.25">
      <c r="A71" s="21" t="s">
        <v>33</v>
      </c>
      <c r="B71" s="28" t="s">
        <v>81</v>
      </c>
      <c r="C71" s="78">
        <v>0.04</v>
      </c>
      <c r="D71" s="45">
        <f>C71*$C$17</f>
        <v>72.383200000000002</v>
      </c>
    </row>
    <row r="72" spans="1:4" ht="16.5" thickBot="1" x14ac:dyDescent="0.3">
      <c r="A72" s="21" t="s">
        <v>35</v>
      </c>
      <c r="B72" s="28" t="s">
        <v>82</v>
      </c>
      <c r="C72" s="78">
        <f>((100%/30*7))/60</f>
        <v>3.8888888888888888E-3</v>
      </c>
      <c r="D72" s="45">
        <f t="shared" si="1"/>
        <v>7.0372555555555554</v>
      </c>
    </row>
    <row r="73" spans="1:4" ht="26.25" customHeight="1" thickBot="1" x14ac:dyDescent="0.3">
      <c r="A73" s="21" t="s">
        <v>37</v>
      </c>
      <c r="B73" s="28" t="s">
        <v>83</v>
      </c>
      <c r="C73" s="29">
        <f>C42*C72</f>
        <v>1.4311111111111113E-3</v>
      </c>
      <c r="D73" s="23">
        <f t="shared" si="1"/>
        <v>2.5897100444444447</v>
      </c>
    </row>
    <row r="74" spans="1:4" ht="16.5" thickBot="1" x14ac:dyDescent="0.3">
      <c r="A74" s="135" t="s">
        <v>43</v>
      </c>
      <c r="B74" s="136"/>
      <c r="C74" s="30">
        <f>SUM(C69:C73)</f>
        <v>4.6219999999999997E-2</v>
      </c>
      <c r="D74" s="23">
        <f>SUM(D69:D73)</f>
        <v>83.638787600000001</v>
      </c>
    </row>
    <row r="77" spans="1:4" x14ac:dyDescent="0.25">
      <c r="A77" s="134" t="s">
        <v>84</v>
      </c>
      <c r="B77" s="134"/>
      <c r="C77" s="134"/>
    </row>
    <row r="80" spans="1:4" x14ac:dyDescent="0.25">
      <c r="A80" s="140" t="s">
        <v>85</v>
      </c>
      <c r="B80" s="140"/>
      <c r="C80" s="140"/>
    </row>
    <row r="81" spans="1:4" ht="16.5" thickBot="1" x14ac:dyDescent="0.3">
      <c r="A81" s="25"/>
    </row>
    <row r="82" spans="1:4" ht="16.5" thickBot="1" x14ac:dyDescent="0.3">
      <c r="A82" s="19" t="s">
        <v>86</v>
      </c>
      <c r="B82" s="20" t="s">
        <v>87</v>
      </c>
      <c r="C82" s="20" t="s">
        <v>55</v>
      </c>
      <c r="D82" s="20" t="s">
        <v>28</v>
      </c>
    </row>
    <row r="83" spans="1:4" ht="16.5" thickBot="1" x14ac:dyDescent="0.3">
      <c r="A83" s="21" t="s">
        <v>29</v>
      </c>
      <c r="B83" s="22" t="s">
        <v>88</v>
      </c>
      <c r="C83" s="29">
        <v>8.3299999999999999E-2</v>
      </c>
      <c r="D83" s="23">
        <f>C83*($C$17+$C$63+$D$74)</f>
        <v>278.99776306926719</v>
      </c>
    </row>
    <row r="84" spans="1:4" ht="16.5" thickBot="1" x14ac:dyDescent="0.3">
      <c r="A84" s="21" t="s">
        <v>31</v>
      </c>
      <c r="B84" s="22" t="s">
        <v>89</v>
      </c>
      <c r="C84" s="29">
        <v>8.2000000000000007E-3</v>
      </c>
      <c r="D84" s="23">
        <f t="shared" ref="D84:D88" si="2">C84*($C$17+$C$63+$D$74)</f>
        <v>27.464365632268802</v>
      </c>
    </row>
    <row r="85" spans="1:4" ht="16.5" thickBot="1" x14ac:dyDescent="0.3">
      <c r="A85" s="21" t="s">
        <v>33</v>
      </c>
      <c r="B85" s="22" t="s">
        <v>90</v>
      </c>
      <c r="C85" s="78">
        <v>2.1000000000000001E-4</v>
      </c>
      <c r="D85" s="23">
        <f t="shared" si="2"/>
        <v>0.70335570521664004</v>
      </c>
    </row>
    <row r="86" spans="1:4" ht="16.5" thickBot="1" x14ac:dyDescent="0.3">
      <c r="A86" s="21" t="s">
        <v>35</v>
      </c>
      <c r="B86" s="22" t="s">
        <v>91</v>
      </c>
      <c r="C86" s="78">
        <v>2.9999999999999997E-4</v>
      </c>
      <c r="D86" s="23">
        <f t="shared" si="2"/>
        <v>1.0047938645951999</v>
      </c>
    </row>
    <row r="87" spans="1:4" ht="16.5" thickBot="1" x14ac:dyDescent="0.3">
      <c r="A87" s="21" t="s">
        <v>37</v>
      </c>
      <c r="B87" s="22" t="s">
        <v>92</v>
      </c>
      <c r="C87" s="78">
        <v>6.9999999999999999E-4</v>
      </c>
      <c r="D87" s="23">
        <f t="shared" si="2"/>
        <v>2.3445190173887998</v>
      </c>
    </row>
    <row r="88" spans="1:4" ht="16.5" thickBot="1" x14ac:dyDescent="0.3">
      <c r="A88" s="21" t="s">
        <v>61</v>
      </c>
      <c r="B88" s="22" t="s">
        <v>93</v>
      </c>
      <c r="C88" s="31">
        <v>0</v>
      </c>
      <c r="D88" s="23">
        <f t="shared" si="2"/>
        <v>0</v>
      </c>
    </row>
    <row r="89" spans="1:4" ht="16.5" thickBot="1" x14ac:dyDescent="0.3">
      <c r="A89" s="135" t="s">
        <v>66</v>
      </c>
      <c r="B89" s="136"/>
      <c r="C89" s="30">
        <f>SUM(C83:C88)</f>
        <v>9.2710000000000001E-2</v>
      </c>
      <c r="D89" s="23">
        <f>SUM(D83:D88)</f>
        <v>310.51479728873664</v>
      </c>
    </row>
    <row r="92" spans="1:4" x14ac:dyDescent="0.25">
      <c r="A92" s="140" t="s">
        <v>94</v>
      </c>
      <c r="B92" s="140"/>
      <c r="C92" s="140"/>
    </row>
    <row r="93" spans="1:4" ht="16.5" thickBot="1" x14ac:dyDescent="0.3">
      <c r="A93" s="25"/>
    </row>
    <row r="94" spans="1:4" ht="16.5" thickBot="1" x14ac:dyDescent="0.3">
      <c r="A94" s="19" t="s">
        <v>95</v>
      </c>
      <c r="B94" s="20" t="s">
        <v>96</v>
      </c>
      <c r="C94" s="20" t="s">
        <v>55</v>
      </c>
      <c r="D94" s="20" t="s">
        <v>28</v>
      </c>
    </row>
    <row r="95" spans="1:4" ht="16.5" thickBot="1" x14ac:dyDescent="0.3">
      <c r="A95" s="21" t="s">
        <v>29</v>
      </c>
      <c r="B95" s="22" t="s">
        <v>97</v>
      </c>
      <c r="C95" s="31">
        <v>0</v>
      </c>
      <c r="D95" s="23">
        <f>C17*C95</f>
        <v>0</v>
      </c>
    </row>
    <row r="96" spans="1:4" ht="16.5" thickBot="1" x14ac:dyDescent="0.3">
      <c r="A96" s="135" t="s">
        <v>43</v>
      </c>
      <c r="B96" s="136"/>
      <c r="C96" s="31">
        <f>C95</f>
        <v>0</v>
      </c>
      <c r="D96" s="23">
        <f>D95</f>
        <v>0</v>
      </c>
    </row>
    <row r="99" spans="1:4" x14ac:dyDescent="0.25">
      <c r="A99" s="140" t="s">
        <v>98</v>
      </c>
      <c r="B99" s="140"/>
      <c r="C99" s="140"/>
    </row>
    <row r="100" spans="1:4" ht="16.5" thickBot="1" x14ac:dyDescent="0.3">
      <c r="A100" s="25"/>
    </row>
    <row r="101" spans="1:4" ht="16.5" thickBot="1" x14ac:dyDescent="0.3">
      <c r="A101" s="19">
        <v>4</v>
      </c>
      <c r="B101" s="20" t="s">
        <v>99</v>
      </c>
      <c r="C101" s="20" t="s">
        <v>28</v>
      </c>
    </row>
    <row r="102" spans="1:4" ht="16.5" thickBot="1" x14ac:dyDescent="0.3">
      <c r="A102" s="21" t="s">
        <v>86</v>
      </c>
      <c r="B102" s="22" t="s">
        <v>100</v>
      </c>
      <c r="C102" s="23">
        <f>D89</f>
        <v>310.51479728873664</v>
      </c>
      <c r="D102" s="76"/>
    </row>
    <row r="103" spans="1:4" ht="16.5" thickBot="1" x14ac:dyDescent="0.3">
      <c r="A103" s="21" t="s">
        <v>95</v>
      </c>
      <c r="B103" s="22" t="s">
        <v>101</v>
      </c>
      <c r="C103" s="23">
        <f>D96</f>
        <v>0</v>
      </c>
      <c r="D103" s="42"/>
    </row>
    <row r="104" spans="1:4" ht="16.5" thickBot="1" x14ac:dyDescent="0.3">
      <c r="A104" s="135" t="s">
        <v>43</v>
      </c>
      <c r="B104" s="136"/>
      <c r="C104" s="23">
        <f>SUM(C102:C103)</f>
        <v>310.51479728873664</v>
      </c>
      <c r="D104" s="42"/>
    </row>
    <row r="107" spans="1:4" x14ac:dyDescent="0.25">
      <c r="A107" s="134" t="s">
        <v>102</v>
      </c>
      <c r="B107" s="134"/>
      <c r="C107" s="134"/>
    </row>
    <row r="108" spans="1:4" ht="16.5" thickBot="1" x14ac:dyDescent="0.3"/>
    <row r="109" spans="1:4" ht="16.5" thickBot="1" x14ac:dyDescent="0.3">
      <c r="A109" s="19">
        <v>5</v>
      </c>
      <c r="B109" s="33" t="s">
        <v>103</v>
      </c>
      <c r="C109" s="20" t="s">
        <v>28</v>
      </c>
    </row>
    <row r="110" spans="1:4" x14ac:dyDescent="0.25">
      <c r="A110" s="21" t="s">
        <v>29</v>
      </c>
      <c r="B110" s="22" t="s">
        <v>104</v>
      </c>
      <c r="C110" s="96">
        <v>29.55</v>
      </c>
    </row>
    <row r="111" spans="1:4" x14ac:dyDescent="0.25">
      <c r="A111" s="21" t="s">
        <v>31</v>
      </c>
      <c r="B111" s="22" t="s">
        <v>105</v>
      </c>
      <c r="C111" s="96" t="s">
        <v>106</v>
      </c>
    </row>
    <row r="112" spans="1:4" x14ac:dyDescent="0.25">
      <c r="A112" s="21" t="s">
        <v>33</v>
      </c>
      <c r="B112" s="22" t="s">
        <v>107</v>
      </c>
      <c r="C112" s="96" t="s">
        <v>108</v>
      </c>
    </row>
    <row r="113" spans="1:4" x14ac:dyDescent="0.25">
      <c r="A113" s="21" t="s">
        <v>35</v>
      </c>
      <c r="B113" s="22" t="s">
        <v>109</v>
      </c>
      <c r="C113" s="96">
        <v>17.37</v>
      </c>
    </row>
    <row r="114" spans="1:4" ht="16.5" thickBot="1" x14ac:dyDescent="0.3">
      <c r="A114" s="135" t="s">
        <v>66</v>
      </c>
      <c r="B114" s="136"/>
      <c r="C114" s="23">
        <f>SUM(C110:C113)</f>
        <v>46.92</v>
      </c>
    </row>
    <row r="117" spans="1:4" x14ac:dyDescent="0.25">
      <c r="A117" s="134" t="s">
        <v>110</v>
      </c>
      <c r="B117" s="134"/>
      <c r="C117" s="134"/>
    </row>
    <row r="118" spans="1:4" ht="16.5" thickBot="1" x14ac:dyDescent="0.3"/>
    <row r="119" spans="1:4" ht="16.5" thickBot="1" x14ac:dyDescent="0.3">
      <c r="A119" s="19">
        <v>6</v>
      </c>
      <c r="B119" s="33" t="s">
        <v>111</v>
      </c>
      <c r="C119" s="20" t="s">
        <v>55</v>
      </c>
      <c r="D119" s="20" t="s">
        <v>28</v>
      </c>
    </row>
    <row r="120" spans="1:4" x14ac:dyDescent="0.25">
      <c r="A120" s="21" t="s">
        <v>29</v>
      </c>
      <c r="B120" s="22" t="s">
        <v>112</v>
      </c>
      <c r="C120" s="34">
        <v>0.01</v>
      </c>
      <c r="D120" s="23">
        <f>C120*C137</f>
        <v>37.067476792727369</v>
      </c>
    </row>
    <row r="121" spans="1:4" x14ac:dyDescent="0.25">
      <c r="A121" s="21" t="s">
        <v>31</v>
      </c>
      <c r="B121" s="22" t="s">
        <v>113</v>
      </c>
      <c r="C121" s="34">
        <v>0.01</v>
      </c>
      <c r="D121" s="23">
        <f>(D120+C137)*C121</f>
        <v>37.438151560654646</v>
      </c>
    </row>
    <row r="122" spans="1:4" ht="16.5" thickBot="1" x14ac:dyDescent="0.3">
      <c r="A122" s="21" t="s">
        <v>33</v>
      </c>
      <c r="B122" s="22" t="s">
        <v>114</v>
      </c>
      <c r="C122" s="26">
        <f>SUM(C123:C125)</f>
        <v>8.6499999999999994E-2</v>
      </c>
      <c r="D122" s="137">
        <f>((D120+D121+C137)/(100%-C122)) - (D120+D121+C137)</f>
        <v>358.0497111216855</v>
      </c>
    </row>
    <row r="123" spans="1:4" ht="16.5" thickBot="1" x14ac:dyDescent="0.3">
      <c r="A123" s="21"/>
      <c r="B123" s="35" t="s">
        <v>115</v>
      </c>
      <c r="C123" s="43">
        <v>3.6499999999999998E-2</v>
      </c>
      <c r="D123" s="138"/>
    </row>
    <row r="124" spans="1:4" ht="16.5" thickBot="1" x14ac:dyDescent="0.3">
      <c r="A124" s="21"/>
      <c r="B124" s="35" t="s">
        <v>116</v>
      </c>
      <c r="C124" s="43">
        <v>0</v>
      </c>
      <c r="D124" s="138"/>
    </row>
    <row r="125" spans="1:4" ht="16.5" thickBot="1" x14ac:dyDescent="0.3">
      <c r="A125" s="21"/>
      <c r="B125" s="35" t="s">
        <v>117</v>
      </c>
      <c r="C125" s="37">
        <v>0.05</v>
      </c>
      <c r="D125" s="139"/>
    </row>
    <row r="126" spans="1:4" ht="16.5" thickBot="1" x14ac:dyDescent="0.3">
      <c r="A126" s="135" t="s">
        <v>66</v>
      </c>
      <c r="B126" s="136"/>
      <c r="C126" s="34">
        <f>C122+C121+C120</f>
        <v>0.10649999999999998</v>
      </c>
      <c r="D126" s="23">
        <f>SUM(D120:D125)</f>
        <v>432.55533947506751</v>
      </c>
    </row>
    <row r="127" spans="1:4" x14ac:dyDescent="0.25">
      <c r="C127" s="77"/>
    </row>
    <row r="128" spans="1:4" x14ac:dyDescent="0.25">
      <c r="C128" s="76"/>
      <c r="D128" s="77"/>
    </row>
    <row r="129" spans="1:3" x14ac:dyDescent="0.25">
      <c r="A129" s="134" t="s">
        <v>118</v>
      </c>
      <c r="B129" s="134"/>
      <c r="C129" s="134"/>
    </row>
    <row r="130" spans="1:3" ht="16.5" thickBot="1" x14ac:dyDescent="0.3"/>
    <row r="131" spans="1:3" ht="16.5" thickBot="1" x14ac:dyDescent="0.3">
      <c r="A131" s="19"/>
      <c r="B131" s="20" t="s">
        <v>119</v>
      </c>
      <c r="C131" s="20" t="s">
        <v>28</v>
      </c>
    </row>
    <row r="132" spans="1:3" ht="16.5" thickBot="1" x14ac:dyDescent="0.3">
      <c r="A132" s="38" t="s">
        <v>29</v>
      </c>
      <c r="B132" s="22" t="s">
        <v>26</v>
      </c>
      <c r="C132" s="39">
        <f>C17</f>
        <v>1809.58</v>
      </c>
    </row>
    <row r="133" spans="1:3" ht="16.5" thickBot="1" x14ac:dyDescent="0.3">
      <c r="A133" s="38" t="s">
        <v>31</v>
      </c>
      <c r="B133" s="22" t="s">
        <v>44</v>
      </c>
      <c r="C133" s="39">
        <f>C63</f>
        <v>1456.0940943840001</v>
      </c>
    </row>
    <row r="134" spans="1:3" ht="16.5" thickBot="1" x14ac:dyDescent="0.3">
      <c r="A134" s="38" t="s">
        <v>33</v>
      </c>
      <c r="B134" s="22" t="s">
        <v>77</v>
      </c>
      <c r="C134" s="39">
        <f>D74</f>
        <v>83.638787600000001</v>
      </c>
    </row>
    <row r="135" spans="1:3" ht="16.5" thickBot="1" x14ac:dyDescent="0.3">
      <c r="A135" s="38" t="s">
        <v>35</v>
      </c>
      <c r="B135" s="22" t="s">
        <v>84</v>
      </c>
      <c r="C135" s="40">
        <f>C104</f>
        <v>310.51479728873664</v>
      </c>
    </row>
    <row r="136" spans="1:3" ht="16.5" thickBot="1" x14ac:dyDescent="0.3">
      <c r="A136" s="38" t="s">
        <v>37</v>
      </c>
      <c r="B136" s="22" t="s">
        <v>102</v>
      </c>
      <c r="C136" s="39">
        <f>C114</f>
        <v>46.92</v>
      </c>
    </row>
    <row r="137" spans="1:3" ht="16.5" thickBot="1" x14ac:dyDescent="0.3">
      <c r="A137" s="135" t="s">
        <v>120</v>
      </c>
      <c r="B137" s="136"/>
      <c r="C137" s="39">
        <f>SUM(C132:C136)</f>
        <v>3706.7476792727366</v>
      </c>
    </row>
    <row r="138" spans="1:3" ht="16.5" thickBot="1" x14ac:dyDescent="0.3">
      <c r="A138" s="38" t="s">
        <v>61</v>
      </c>
      <c r="B138" s="22" t="s">
        <v>121</v>
      </c>
      <c r="C138" s="39">
        <f>D126</f>
        <v>432.55533947506751</v>
      </c>
    </row>
    <row r="139" spans="1:3" x14ac:dyDescent="0.25">
      <c r="A139" s="135" t="s">
        <v>122</v>
      </c>
      <c r="B139" s="136"/>
      <c r="C139" s="39">
        <f>C138+C137</f>
        <v>4139.3030187478043</v>
      </c>
    </row>
    <row r="141" spans="1:3" x14ac:dyDescent="0.25">
      <c r="A141" s="16" t="s">
        <v>231</v>
      </c>
      <c r="B141" s="133" t="s">
        <v>232</v>
      </c>
    </row>
    <row r="142" spans="1:3" x14ac:dyDescent="0.25">
      <c r="B142" s="133"/>
    </row>
    <row r="143" spans="1:3" x14ac:dyDescent="0.25">
      <c r="B143" s="133"/>
    </row>
    <row r="144" spans="1:3" x14ac:dyDescent="0.25">
      <c r="B144" s="133"/>
    </row>
    <row r="145" spans="2:2" ht="36" customHeight="1" x14ac:dyDescent="0.25">
      <c r="B145" s="133"/>
    </row>
  </sheetData>
  <mergeCells count="33">
    <mergeCell ref="A20:C20"/>
    <mergeCell ref="A1:D1"/>
    <mergeCell ref="A2:D2"/>
    <mergeCell ref="A3:D3"/>
    <mergeCell ref="A17:B17"/>
    <mergeCell ref="A74:B74"/>
    <mergeCell ref="A22:C22"/>
    <mergeCell ref="A27:B27"/>
    <mergeCell ref="A28:B28"/>
    <mergeCell ref="A29:B29"/>
    <mergeCell ref="A31:D31"/>
    <mergeCell ref="A42:B42"/>
    <mergeCell ref="A45:C45"/>
    <mergeCell ref="A54:B54"/>
    <mergeCell ref="A57:C57"/>
    <mergeCell ref="A63:B63"/>
    <mergeCell ref="A66:C66"/>
    <mergeCell ref="D122:D125"/>
    <mergeCell ref="A126:B126"/>
    <mergeCell ref="A77:C77"/>
    <mergeCell ref="A80:C80"/>
    <mergeCell ref="A89:B89"/>
    <mergeCell ref="A92:C92"/>
    <mergeCell ref="A96:B96"/>
    <mergeCell ref="A99:C99"/>
    <mergeCell ref="B141:B145"/>
    <mergeCell ref="A129:C129"/>
    <mergeCell ref="A137:B137"/>
    <mergeCell ref="A139:B139"/>
    <mergeCell ref="A104:B104"/>
    <mergeCell ref="A107:C107"/>
    <mergeCell ref="A114:B114"/>
    <mergeCell ref="A117:C117"/>
  </mergeCells>
  <pageMargins left="0.511811024" right="0.511811024" top="0.78740157499999996" bottom="0.78740157499999996" header="0.31496062000000002" footer="0.31496062000000002"/>
  <pageSetup paperSize="9" scale="8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F68FE-1A3B-40F1-87E5-BEBEFD343C94}">
  <dimension ref="A1:H145"/>
  <sheetViews>
    <sheetView topLeftCell="A117" zoomScaleNormal="100" workbookViewId="0">
      <selection activeCell="A141" sqref="A141"/>
    </sheetView>
  </sheetViews>
  <sheetFormatPr defaultColWidth="9.140625" defaultRowHeight="15.75" x14ac:dyDescent="0.25"/>
  <cols>
    <col min="1" max="1" width="9.140625" style="16"/>
    <col min="2" max="2" width="73" style="16" customWidth="1"/>
    <col min="3" max="3" width="18" style="16" customWidth="1"/>
    <col min="4" max="4" width="14.28515625" style="16" customWidth="1"/>
    <col min="5" max="5" width="12.7109375" style="16" customWidth="1"/>
    <col min="6" max="6" width="12" style="16" customWidth="1"/>
    <col min="7" max="7" width="15.140625" style="16" customWidth="1"/>
    <col min="8" max="16384" width="9.140625" style="16"/>
  </cols>
  <sheetData>
    <row r="1" spans="1:4" ht="23.25" x14ac:dyDescent="0.35">
      <c r="A1" s="142" t="s">
        <v>18</v>
      </c>
      <c r="B1" s="142"/>
      <c r="C1" s="142"/>
      <c r="D1" s="142"/>
    </row>
    <row r="2" spans="1:4" ht="23.25" x14ac:dyDescent="0.35">
      <c r="A2" s="142" t="s">
        <v>19</v>
      </c>
      <c r="B2" s="142"/>
      <c r="C2" s="142"/>
      <c r="D2" s="142"/>
    </row>
    <row r="3" spans="1:4" x14ac:dyDescent="0.25">
      <c r="A3" s="143" t="s">
        <v>20</v>
      </c>
      <c r="B3" s="143"/>
      <c r="C3" s="143"/>
      <c r="D3" s="143"/>
    </row>
    <row r="4" spans="1:4" x14ac:dyDescent="0.25">
      <c r="A4" s="17"/>
      <c r="B4" s="17" t="s">
        <v>21</v>
      </c>
      <c r="C4" s="17" t="s">
        <v>22</v>
      </c>
      <c r="D4" s="18"/>
    </row>
    <row r="5" spans="1:4" ht="15.75" customHeight="1" x14ac:dyDescent="0.25">
      <c r="A5" s="18"/>
      <c r="B5" s="18"/>
      <c r="C5" s="17" t="s">
        <v>23</v>
      </c>
      <c r="D5" s="18"/>
    </row>
    <row r="6" spans="1:4" ht="31.5" x14ac:dyDescent="0.25">
      <c r="A6" s="18"/>
      <c r="B6" s="17" t="s">
        <v>24</v>
      </c>
      <c r="C6" s="44" t="s">
        <v>25</v>
      </c>
      <c r="D6" s="18"/>
    </row>
    <row r="7" spans="1:4" x14ac:dyDescent="0.25">
      <c r="A7" s="134" t="s">
        <v>26</v>
      </c>
      <c r="B7" s="134"/>
      <c r="C7" s="134"/>
    </row>
    <row r="8" spans="1:4" ht="16.5" thickBot="1" x14ac:dyDescent="0.3"/>
    <row r="9" spans="1:4" ht="16.5" thickBot="1" x14ac:dyDescent="0.3">
      <c r="A9" s="19">
        <v>1</v>
      </c>
      <c r="B9" s="20" t="s">
        <v>27</v>
      </c>
      <c r="C9" s="20" t="s">
        <v>28</v>
      </c>
    </row>
    <row r="10" spans="1:4" ht="16.5" thickBot="1" x14ac:dyDescent="0.3">
      <c r="A10" s="21" t="s">
        <v>29</v>
      </c>
      <c r="B10" s="22" t="s">
        <v>30</v>
      </c>
      <c r="C10" s="23">
        <v>1580.42</v>
      </c>
    </row>
    <row r="11" spans="1:4" ht="16.5" thickBot="1" x14ac:dyDescent="0.3">
      <c r="A11" s="21" t="s">
        <v>31</v>
      </c>
      <c r="B11" s="22" t="s">
        <v>32</v>
      </c>
      <c r="C11" s="23"/>
    </row>
    <row r="12" spans="1:4" ht="16.5" thickBot="1" x14ac:dyDescent="0.3">
      <c r="A12" s="21" t="s">
        <v>33</v>
      </c>
      <c r="B12" s="22" t="s">
        <v>123</v>
      </c>
      <c r="C12" s="23"/>
    </row>
    <row r="13" spans="1:4" ht="16.5" thickBot="1" x14ac:dyDescent="0.3">
      <c r="A13" s="21" t="s">
        <v>35</v>
      </c>
      <c r="B13" s="22" t="s">
        <v>36</v>
      </c>
      <c r="C13" s="23"/>
    </row>
    <row r="14" spans="1:4" ht="16.5" thickBot="1" x14ac:dyDescent="0.3">
      <c r="A14" s="21" t="s">
        <v>37</v>
      </c>
      <c r="B14" s="22" t="s">
        <v>38</v>
      </c>
      <c r="C14" s="23"/>
    </row>
    <row r="15" spans="1:4" ht="16.5" thickBot="1" x14ac:dyDescent="0.3">
      <c r="A15" s="21" t="s">
        <v>39</v>
      </c>
      <c r="B15" s="22" t="s">
        <v>40</v>
      </c>
      <c r="C15" s="23"/>
    </row>
    <row r="16" spans="1:4" ht="16.5" thickBot="1" x14ac:dyDescent="0.3">
      <c r="A16" s="21" t="s">
        <v>41</v>
      </c>
      <c r="B16" s="22" t="s">
        <v>42</v>
      </c>
      <c r="C16" s="23"/>
    </row>
    <row r="17" spans="1:4" ht="16.5" thickBot="1" x14ac:dyDescent="0.3">
      <c r="A17" s="135" t="s">
        <v>43</v>
      </c>
      <c r="B17" s="136"/>
      <c r="C17" s="24">
        <f>SUM(C10:C16)</f>
        <v>1580.42</v>
      </c>
    </row>
    <row r="18" spans="1:4" x14ac:dyDescent="0.25">
      <c r="D18" s="77"/>
    </row>
    <row r="20" spans="1:4" x14ac:dyDescent="0.25">
      <c r="A20" s="134" t="s">
        <v>44</v>
      </c>
      <c r="B20" s="134"/>
      <c r="C20" s="134"/>
    </row>
    <row r="21" spans="1:4" x14ac:dyDescent="0.25">
      <c r="A21" s="25"/>
    </row>
    <row r="22" spans="1:4" x14ac:dyDescent="0.25">
      <c r="A22" s="140" t="s">
        <v>45</v>
      </c>
      <c r="B22" s="140"/>
      <c r="C22" s="140"/>
    </row>
    <row r="23" spans="1:4" ht="16.5" thickBot="1" x14ac:dyDescent="0.3"/>
    <row r="24" spans="1:4" ht="16.5" thickBot="1" x14ac:dyDescent="0.3">
      <c r="A24" s="19" t="s">
        <v>46</v>
      </c>
      <c r="B24" s="20" t="s">
        <v>47</v>
      </c>
      <c r="C24" s="20" t="s">
        <v>28</v>
      </c>
    </row>
    <row r="25" spans="1:4" ht="16.5" thickBot="1" x14ac:dyDescent="0.3">
      <c r="A25" s="21" t="s">
        <v>29</v>
      </c>
      <c r="B25" s="22" t="s">
        <v>48</v>
      </c>
      <c r="C25" s="23">
        <f>C17*D25</f>
        <v>131.64898600000001</v>
      </c>
      <c r="D25" s="76">
        <v>8.3299999999999999E-2</v>
      </c>
    </row>
    <row r="26" spans="1:4" ht="16.5" thickBot="1" x14ac:dyDescent="0.3">
      <c r="A26" s="21" t="s">
        <v>31</v>
      </c>
      <c r="B26" s="22" t="s">
        <v>49</v>
      </c>
      <c r="C26" s="45">
        <f>C17*D26</f>
        <v>43.935676000000001</v>
      </c>
      <c r="D26" s="79">
        <v>2.7799999999999998E-2</v>
      </c>
    </row>
    <row r="27" spans="1:4" ht="16.5" thickBot="1" x14ac:dyDescent="0.3">
      <c r="A27" s="135" t="s">
        <v>50</v>
      </c>
      <c r="B27" s="136"/>
      <c r="C27" s="23">
        <f>C26+C25</f>
        <v>175.58466200000001</v>
      </c>
      <c r="D27" s="76">
        <f>SUM(D25:D26)</f>
        <v>0.1111</v>
      </c>
    </row>
    <row r="28" spans="1:4" ht="16.5" hidden="1" thickBot="1" x14ac:dyDescent="0.3">
      <c r="A28" s="135" t="s">
        <v>51</v>
      </c>
      <c r="B28" s="136"/>
      <c r="C28" s="23">
        <f>C27*C42</f>
        <v>64.61515561600001</v>
      </c>
    </row>
    <row r="29" spans="1:4" ht="16.5" hidden="1" thickBot="1" x14ac:dyDescent="0.3">
      <c r="A29" s="135" t="s">
        <v>43</v>
      </c>
      <c r="B29" s="136"/>
      <c r="C29" s="23">
        <f>C28+C27</f>
        <v>240.19981761600002</v>
      </c>
    </row>
    <row r="31" spans="1:4" ht="32.25" customHeight="1" x14ac:dyDescent="0.25">
      <c r="A31" s="141" t="s">
        <v>52</v>
      </c>
      <c r="B31" s="141"/>
      <c r="C31" s="141"/>
      <c r="D31" s="141"/>
    </row>
    <row r="32" spans="1:4" ht="16.5" thickBot="1" x14ac:dyDescent="0.3"/>
    <row r="33" spans="1:4" ht="16.5" thickBot="1" x14ac:dyDescent="0.3">
      <c r="A33" s="19" t="s">
        <v>53</v>
      </c>
      <c r="B33" s="20" t="s">
        <v>54</v>
      </c>
      <c r="C33" s="20" t="s">
        <v>55</v>
      </c>
      <c r="D33" s="20" t="s">
        <v>28</v>
      </c>
    </row>
    <row r="34" spans="1:4" ht="16.5" thickBot="1" x14ac:dyDescent="0.3">
      <c r="A34" s="21" t="s">
        <v>29</v>
      </c>
      <c r="B34" s="22" t="s">
        <v>56</v>
      </c>
      <c r="C34" s="26">
        <v>0.2</v>
      </c>
      <c r="D34" s="23">
        <f>C34*($C$17+$C$27)</f>
        <v>351.20093240000006</v>
      </c>
    </row>
    <row r="35" spans="1:4" ht="16.5" thickBot="1" x14ac:dyDescent="0.3">
      <c r="A35" s="21" t="s">
        <v>31</v>
      </c>
      <c r="B35" s="22" t="s">
        <v>57</v>
      </c>
      <c r="C35" s="26">
        <v>2.5000000000000001E-2</v>
      </c>
      <c r="D35" s="23">
        <f t="shared" ref="D35:D40" si="0">C35*($C$17+$C$27)</f>
        <v>43.900116550000007</v>
      </c>
    </row>
    <row r="36" spans="1:4" ht="16.5" thickBot="1" x14ac:dyDescent="0.3">
      <c r="A36" s="21" t="s">
        <v>33</v>
      </c>
      <c r="B36" s="22" t="s">
        <v>58</v>
      </c>
      <c r="C36" s="26">
        <v>0.03</v>
      </c>
      <c r="D36" s="23">
        <f t="shared" si="0"/>
        <v>52.680139859999997</v>
      </c>
    </row>
    <row r="37" spans="1:4" ht="16.5" thickBot="1" x14ac:dyDescent="0.3">
      <c r="A37" s="21" t="s">
        <v>35</v>
      </c>
      <c r="B37" s="22" t="s">
        <v>59</v>
      </c>
      <c r="C37" s="26">
        <v>1.4999999999999999E-2</v>
      </c>
      <c r="D37" s="23">
        <f t="shared" si="0"/>
        <v>26.340069929999999</v>
      </c>
    </row>
    <row r="38" spans="1:4" ht="16.5" thickBot="1" x14ac:dyDescent="0.3">
      <c r="A38" s="21" t="s">
        <v>37</v>
      </c>
      <c r="B38" s="22" t="s">
        <v>60</v>
      </c>
      <c r="C38" s="26">
        <v>0.01</v>
      </c>
      <c r="D38" s="23">
        <f t="shared" si="0"/>
        <v>17.560046620000001</v>
      </c>
    </row>
    <row r="39" spans="1:4" ht="16.5" thickBot="1" x14ac:dyDescent="0.3">
      <c r="A39" s="21" t="s">
        <v>61</v>
      </c>
      <c r="B39" s="22" t="s">
        <v>62</v>
      </c>
      <c r="C39" s="26">
        <v>6.0000000000000001E-3</v>
      </c>
      <c r="D39" s="23">
        <f t="shared" si="0"/>
        <v>10.536027972000001</v>
      </c>
    </row>
    <row r="40" spans="1:4" ht="16.5" thickBot="1" x14ac:dyDescent="0.3">
      <c r="A40" s="21" t="s">
        <v>41</v>
      </c>
      <c r="B40" s="22" t="s">
        <v>63</v>
      </c>
      <c r="C40" s="26">
        <v>2E-3</v>
      </c>
      <c r="D40" s="23">
        <f t="shared" si="0"/>
        <v>3.5120093240000001</v>
      </c>
    </row>
    <row r="41" spans="1:4" ht="16.5" thickBot="1" x14ac:dyDescent="0.3">
      <c r="A41" s="21" t="s">
        <v>64</v>
      </c>
      <c r="B41" s="22" t="s">
        <v>65</v>
      </c>
      <c r="C41" s="26">
        <v>0.08</v>
      </c>
      <c r="D41" s="23">
        <f>C41*($C$17+$C$27)</f>
        <v>140.48037296000001</v>
      </c>
    </row>
    <row r="42" spans="1:4" ht="16.5" thickBot="1" x14ac:dyDescent="0.3">
      <c r="A42" s="135" t="s">
        <v>66</v>
      </c>
      <c r="B42" s="136"/>
      <c r="C42" s="26">
        <f>SUM(C34:C41)</f>
        <v>0.36800000000000005</v>
      </c>
      <c r="D42" s="23">
        <f>SUM(D34:D41)</f>
        <v>646.20971561600004</v>
      </c>
    </row>
    <row r="45" spans="1:4" x14ac:dyDescent="0.25">
      <c r="A45" s="140" t="s">
        <v>67</v>
      </c>
      <c r="B45" s="140"/>
      <c r="C45" s="140"/>
    </row>
    <row r="46" spans="1:4" ht="16.5" thickBot="1" x14ac:dyDescent="0.3"/>
    <row r="47" spans="1:4" ht="16.5" thickBot="1" x14ac:dyDescent="0.3">
      <c r="A47" s="19" t="s">
        <v>68</v>
      </c>
      <c r="B47" s="20" t="s">
        <v>69</v>
      </c>
      <c r="C47" s="20" t="s">
        <v>28</v>
      </c>
    </row>
    <row r="48" spans="1:4" ht="16.5" thickBot="1" x14ac:dyDescent="0.3">
      <c r="A48" s="21" t="s">
        <v>29</v>
      </c>
      <c r="B48" s="22" t="s">
        <v>70</v>
      </c>
      <c r="C48" s="23">
        <v>169.17</v>
      </c>
    </row>
    <row r="49" spans="1:3" ht="16.5" thickBot="1" x14ac:dyDescent="0.3">
      <c r="A49" s="21" t="s">
        <v>31</v>
      </c>
      <c r="B49" s="22" t="s">
        <v>71</v>
      </c>
      <c r="C49" s="23">
        <v>200</v>
      </c>
    </row>
    <row r="50" spans="1:3" ht="16.5" thickBot="1" x14ac:dyDescent="0.3">
      <c r="A50" s="21" t="s">
        <v>33</v>
      </c>
      <c r="B50" s="22" t="s">
        <v>72</v>
      </c>
      <c r="C50" s="23">
        <v>137.97999999999999</v>
      </c>
    </row>
    <row r="51" spans="1:3" ht="16.5" thickBot="1" x14ac:dyDescent="0.3">
      <c r="A51" s="21" t="s">
        <v>35</v>
      </c>
      <c r="B51" s="22" t="s">
        <v>73</v>
      </c>
      <c r="C51" s="23">
        <v>16.13</v>
      </c>
    </row>
    <row r="52" spans="1:3" ht="16.5" thickBot="1" x14ac:dyDescent="0.3">
      <c r="A52" s="21" t="s">
        <v>37</v>
      </c>
      <c r="B52" s="22" t="s">
        <v>74</v>
      </c>
      <c r="C52" s="23"/>
    </row>
    <row r="53" spans="1:3" ht="16.5" thickBot="1" x14ac:dyDescent="0.3">
      <c r="A53" s="107" t="s">
        <v>61</v>
      </c>
      <c r="B53" s="22" t="s">
        <v>189</v>
      </c>
      <c r="C53" s="23">
        <v>5.6</v>
      </c>
    </row>
    <row r="54" spans="1:3" ht="16.5" thickBot="1" x14ac:dyDescent="0.3">
      <c r="A54" s="135" t="s">
        <v>43</v>
      </c>
      <c r="B54" s="136"/>
      <c r="C54" s="23">
        <f>SUM(C48:C53)</f>
        <v>528.88</v>
      </c>
    </row>
    <row r="57" spans="1:3" x14ac:dyDescent="0.25">
      <c r="A57" s="140" t="s">
        <v>75</v>
      </c>
      <c r="B57" s="140"/>
      <c r="C57" s="140"/>
    </row>
    <row r="58" spans="1:3" ht="16.5" thickBot="1" x14ac:dyDescent="0.3"/>
    <row r="59" spans="1:3" ht="16.5" thickBot="1" x14ac:dyDescent="0.3">
      <c r="A59" s="19">
        <v>2</v>
      </c>
      <c r="B59" s="20" t="s">
        <v>76</v>
      </c>
      <c r="C59" s="20" t="s">
        <v>28</v>
      </c>
    </row>
    <row r="60" spans="1:3" ht="16.5" thickBot="1" x14ac:dyDescent="0.3">
      <c r="A60" s="21" t="s">
        <v>46</v>
      </c>
      <c r="B60" s="22" t="s">
        <v>47</v>
      </c>
      <c r="C60" s="23">
        <f>C27</f>
        <v>175.58466200000001</v>
      </c>
    </row>
    <row r="61" spans="1:3" ht="16.5" thickBot="1" x14ac:dyDescent="0.3">
      <c r="A61" s="21" t="s">
        <v>53</v>
      </c>
      <c r="B61" s="22" t="s">
        <v>54</v>
      </c>
      <c r="C61" s="23">
        <f>D42</f>
        <v>646.20971561600004</v>
      </c>
    </row>
    <row r="62" spans="1:3" ht="16.5" thickBot="1" x14ac:dyDescent="0.3">
      <c r="A62" s="21" t="s">
        <v>68</v>
      </c>
      <c r="B62" s="22" t="s">
        <v>69</v>
      </c>
      <c r="C62" s="23">
        <f>C54</f>
        <v>528.88</v>
      </c>
    </row>
    <row r="63" spans="1:3" ht="16.5" thickBot="1" x14ac:dyDescent="0.3">
      <c r="A63" s="135" t="s">
        <v>43</v>
      </c>
      <c r="B63" s="136"/>
      <c r="C63" s="23">
        <f>SUM(C60:C62)</f>
        <v>1350.6743776160001</v>
      </c>
    </row>
    <row r="64" spans="1:3" x14ac:dyDescent="0.25">
      <c r="A64" s="27"/>
    </row>
    <row r="66" spans="1:8" x14ac:dyDescent="0.25">
      <c r="A66" s="134" t="s">
        <v>77</v>
      </c>
      <c r="B66" s="134"/>
      <c r="C66" s="134"/>
      <c r="H66" s="97"/>
    </row>
    <row r="67" spans="1:8" ht="16.5" thickBot="1" x14ac:dyDescent="0.3"/>
    <row r="68" spans="1:8" ht="16.5" thickBot="1" x14ac:dyDescent="0.3">
      <c r="A68" s="19">
        <v>3</v>
      </c>
      <c r="B68" s="20" t="s">
        <v>78</v>
      </c>
      <c r="C68" s="20" t="s">
        <v>55</v>
      </c>
      <c r="D68" s="20" t="s">
        <v>28</v>
      </c>
    </row>
    <row r="69" spans="1:8" ht="16.5" thickBot="1" x14ac:dyDescent="0.3">
      <c r="A69" s="21" t="s">
        <v>29</v>
      </c>
      <c r="B69" s="28" t="s">
        <v>79</v>
      </c>
      <c r="C69" s="78">
        <f>(1/60)*5%</f>
        <v>8.3333333333333339E-4</v>
      </c>
      <c r="D69" s="45">
        <f>C69*$C$17</f>
        <v>1.3170166666666667</v>
      </c>
    </row>
    <row r="70" spans="1:8" ht="16.5" thickBot="1" x14ac:dyDescent="0.3">
      <c r="A70" s="21" t="s">
        <v>31</v>
      </c>
      <c r="B70" s="28" t="s">
        <v>80</v>
      </c>
      <c r="C70" s="78">
        <f>C69*8%</f>
        <v>6.666666666666667E-5</v>
      </c>
      <c r="D70" s="45">
        <f t="shared" ref="D70:D73" si="1">C70*$C$17</f>
        <v>0.10536133333333335</v>
      </c>
    </row>
    <row r="71" spans="1:8" ht="16.5" thickBot="1" x14ac:dyDescent="0.3">
      <c r="A71" s="21" t="s">
        <v>33</v>
      </c>
      <c r="B71" s="28" t="s">
        <v>124</v>
      </c>
      <c r="C71" s="78">
        <v>0.04</v>
      </c>
      <c r="D71" s="45">
        <f t="shared" si="1"/>
        <v>63.216800000000006</v>
      </c>
    </row>
    <row r="72" spans="1:8" ht="16.5" thickBot="1" x14ac:dyDescent="0.3">
      <c r="A72" s="21" t="s">
        <v>35</v>
      </c>
      <c r="B72" s="28" t="s">
        <v>82</v>
      </c>
      <c r="C72" s="78">
        <f>((100%/30*7))/60</f>
        <v>3.8888888888888888E-3</v>
      </c>
      <c r="D72" s="45">
        <f t="shared" si="1"/>
        <v>6.1460777777777782</v>
      </c>
    </row>
    <row r="73" spans="1:8" ht="26.25" customHeight="1" thickBot="1" x14ac:dyDescent="0.3">
      <c r="A73" s="21" t="s">
        <v>37</v>
      </c>
      <c r="B73" s="28" t="s">
        <v>83</v>
      </c>
      <c r="C73" s="29">
        <f>C42*C72</f>
        <v>1.4311111111111113E-3</v>
      </c>
      <c r="D73" s="23">
        <f t="shared" si="1"/>
        <v>2.2617566222222227</v>
      </c>
    </row>
    <row r="74" spans="1:8" ht="16.5" thickBot="1" x14ac:dyDescent="0.3">
      <c r="A74" s="135" t="s">
        <v>43</v>
      </c>
      <c r="B74" s="136"/>
      <c r="C74" s="30">
        <f>SUM(C69:C73)</f>
        <v>4.6219999999999997E-2</v>
      </c>
      <c r="D74" s="23">
        <f>SUM(D69:D73)</f>
        <v>73.0470124</v>
      </c>
    </row>
    <row r="77" spans="1:8" x14ac:dyDescent="0.25">
      <c r="A77" s="134" t="s">
        <v>84</v>
      </c>
      <c r="B77" s="134"/>
      <c r="C77" s="134"/>
    </row>
    <row r="80" spans="1:8" x14ac:dyDescent="0.25">
      <c r="A80" s="140" t="s">
        <v>85</v>
      </c>
      <c r="B80" s="140"/>
      <c r="C80" s="140"/>
    </row>
    <row r="81" spans="1:4" ht="16.5" thickBot="1" x14ac:dyDescent="0.3">
      <c r="A81" s="25"/>
    </row>
    <row r="82" spans="1:4" ht="16.5" thickBot="1" x14ac:dyDescent="0.3">
      <c r="A82" s="19" t="s">
        <v>86</v>
      </c>
      <c r="B82" s="20" t="s">
        <v>87</v>
      </c>
      <c r="C82" s="20" t="s">
        <v>55</v>
      </c>
      <c r="D82" s="20" t="s">
        <v>28</v>
      </c>
    </row>
    <row r="83" spans="1:4" ht="16.5" thickBot="1" x14ac:dyDescent="0.3">
      <c r="A83" s="21" t="s">
        <v>29</v>
      </c>
      <c r="B83" s="22" t="s">
        <v>88</v>
      </c>
      <c r="C83" s="29">
        <v>8.3299999999999999E-2</v>
      </c>
      <c r="D83" s="23">
        <f>C83*($C$17+$C$63+$D$74)</f>
        <v>250.24497778833279</v>
      </c>
    </row>
    <row r="84" spans="1:4" ht="16.5" thickBot="1" x14ac:dyDescent="0.3">
      <c r="A84" s="21" t="s">
        <v>31</v>
      </c>
      <c r="B84" s="22" t="s">
        <v>89</v>
      </c>
      <c r="C84" s="29">
        <v>8.2000000000000007E-3</v>
      </c>
      <c r="D84" s="23">
        <f t="shared" ref="D84:D88" si="2">C84*($C$17+$C$63+$D$74)</f>
        <v>24.633959398131203</v>
      </c>
    </row>
    <row r="85" spans="1:4" ht="16.5" thickBot="1" x14ac:dyDescent="0.3">
      <c r="A85" s="21" t="s">
        <v>33</v>
      </c>
      <c r="B85" s="22" t="s">
        <v>90</v>
      </c>
      <c r="C85" s="78">
        <v>2.1000000000000001E-4</v>
      </c>
      <c r="D85" s="23">
        <f t="shared" si="2"/>
        <v>0.63086969190336006</v>
      </c>
    </row>
    <row r="86" spans="1:4" ht="16.5" thickBot="1" x14ac:dyDescent="0.3">
      <c r="A86" s="21" t="s">
        <v>35</v>
      </c>
      <c r="B86" s="22" t="s">
        <v>91</v>
      </c>
      <c r="C86" s="78">
        <v>2.9999999999999997E-4</v>
      </c>
      <c r="D86" s="23">
        <f t="shared" si="2"/>
        <v>0.9012424170047999</v>
      </c>
    </row>
    <row r="87" spans="1:4" ht="16.5" thickBot="1" x14ac:dyDescent="0.3">
      <c r="A87" s="21" t="s">
        <v>37</v>
      </c>
      <c r="B87" s="22" t="s">
        <v>92</v>
      </c>
      <c r="C87" s="78">
        <v>6.9999999999999999E-4</v>
      </c>
      <c r="D87" s="23">
        <f t="shared" si="2"/>
        <v>2.1028989730112002</v>
      </c>
    </row>
    <row r="88" spans="1:4" ht="16.5" thickBot="1" x14ac:dyDescent="0.3">
      <c r="A88" s="21" t="s">
        <v>61</v>
      </c>
      <c r="B88" s="22" t="s">
        <v>93</v>
      </c>
      <c r="C88" s="31">
        <v>0</v>
      </c>
      <c r="D88" s="23">
        <f t="shared" si="2"/>
        <v>0</v>
      </c>
    </row>
    <row r="89" spans="1:4" ht="16.5" thickBot="1" x14ac:dyDescent="0.3">
      <c r="A89" s="135" t="s">
        <v>66</v>
      </c>
      <c r="B89" s="136"/>
      <c r="C89" s="30">
        <f>SUM(C83:C88)</f>
        <v>9.2710000000000001E-2</v>
      </c>
      <c r="D89" s="23">
        <f>SUM(D83:D88)</f>
        <v>278.51394826838333</v>
      </c>
    </row>
    <row r="92" spans="1:4" x14ac:dyDescent="0.25">
      <c r="A92" s="140" t="s">
        <v>94</v>
      </c>
      <c r="B92" s="140"/>
      <c r="C92" s="140"/>
    </row>
    <row r="93" spans="1:4" ht="16.5" thickBot="1" x14ac:dyDescent="0.3">
      <c r="A93" s="25"/>
    </row>
    <row r="94" spans="1:4" ht="16.5" thickBot="1" x14ac:dyDescent="0.3">
      <c r="A94" s="19" t="s">
        <v>95</v>
      </c>
      <c r="B94" s="20" t="s">
        <v>96</v>
      </c>
      <c r="C94" s="20" t="s">
        <v>55</v>
      </c>
      <c r="D94" s="20" t="s">
        <v>28</v>
      </c>
    </row>
    <row r="95" spans="1:4" ht="16.5" thickBot="1" x14ac:dyDescent="0.3">
      <c r="A95" s="21" t="s">
        <v>29</v>
      </c>
      <c r="B95" s="22" t="s">
        <v>97</v>
      </c>
      <c r="C95" s="31">
        <v>0</v>
      </c>
      <c r="D95" s="23">
        <f>C17*C95</f>
        <v>0</v>
      </c>
    </row>
    <row r="96" spans="1:4" ht="16.5" thickBot="1" x14ac:dyDescent="0.3">
      <c r="A96" s="135" t="s">
        <v>43</v>
      </c>
      <c r="B96" s="136"/>
      <c r="C96" s="31">
        <f>C95</f>
        <v>0</v>
      </c>
      <c r="D96" s="23">
        <f>D95</f>
        <v>0</v>
      </c>
    </row>
    <row r="99" spans="1:4" x14ac:dyDescent="0.25">
      <c r="A99" s="140" t="s">
        <v>98</v>
      </c>
      <c r="B99" s="140"/>
      <c r="C99" s="140"/>
    </row>
    <row r="100" spans="1:4" ht="16.5" thickBot="1" x14ac:dyDescent="0.3">
      <c r="A100" s="25"/>
    </row>
    <row r="101" spans="1:4" ht="16.5" thickBot="1" x14ac:dyDescent="0.3">
      <c r="A101" s="19">
        <v>4</v>
      </c>
      <c r="B101" s="20" t="s">
        <v>99</v>
      </c>
      <c r="C101" s="20" t="s">
        <v>28</v>
      </c>
    </row>
    <row r="102" spans="1:4" ht="16.5" thickBot="1" x14ac:dyDescent="0.3">
      <c r="A102" s="21" t="s">
        <v>86</v>
      </c>
      <c r="B102" s="22" t="s">
        <v>100</v>
      </c>
      <c r="C102" s="23">
        <f>D89</f>
        <v>278.51394826838333</v>
      </c>
      <c r="D102" s="76"/>
    </row>
    <row r="103" spans="1:4" ht="16.5" thickBot="1" x14ac:dyDescent="0.3">
      <c r="A103" s="21" t="s">
        <v>95</v>
      </c>
      <c r="B103" s="22" t="s">
        <v>101</v>
      </c>
      <c r="C103" s="23">
        <f>D96</f>
        <v>0</v>
      </c>
      <c r="D103" s="42"/>
    </row>
    <row r="104" spans="1:4" ht="16.5" thickBot="1" x14ac:dyDescent="0.3">
      <c r="A104" s="135" t="s">
        <v>43</v>
      </c>
      <c r="B104" s="136"/>
      <c r="C104" s="23">
        <f>SUM(C102:C103)</f>
        <v>278.51394826838333</v>
      </c>
      <c r="D104" s="42"/>
    </row>
    <row r="107" spans="1:4" x14ac:dyDescent="0.25">
      <c r="A107" s="134" t="s">
        <v>102</v>
      </c>
      <c r="B107" s="134"/>
      <c r="C107" s="134"/>
    </row>
    <row r="108" spans="1:4" ht="16.5" thickBot="1" x14ac:dyDescent="0.3"/>
    <row r="109" spans="1:4" ht="16.5" thickBot="1" x14ac:dyDescent="0.3">
      <c r="A109" s="19">
        <v>5</v>
      </c>
      <c r="B109" s="33" t="s">
        <v>103</v>
      </c>
      <c r="C109" s="20" t="s">
        <v>28</v>
      </c>
    </row>
    <row r="110" spans="1:4" ht="16.5" thickBot="1" x14ac:dyDescent="0.3">
      <c r="A110" s="21" t="s">
        <v>29</v>
      </c>
      <c r="B110" s="22" t="s">
        <v>104</v>
      </c>
      <c r="C110" s="45">
        <v>29.55</v>
      </c>
      <c r="D110" s="98"/>
    </row>
    <row r="111" spans="1:4" ht="16.5" thickBot="1" x14ac:dyDescent="0.3">
      <c r="A111" s="21" t="s">
        <v>31</v>
      </c>
      <c r="B111" s="22" t="s">
        <v>105</v>
      </c>
      <c r="C111" s="45"/>
    </row>
    <row r="112" spans="1:4" ht="16.5" thickBot="1" x14ac:dyDescent="0.3">
      <c r="A112" s="21" t="s">
        <v>33</v>
      </c>
      <c r="B112" s="22" t="s">
        <v>107</v>
      </c>
      <c r="C112" s="45">
        <v>0</v>
      </c>
    </row>
    <row r="113" spans="1:7" ht="16.5" thickBot="1" x14ac:dyDescent="0.3">
      <c r="A113" s="21" t="s">
        <v>35</v>
      </c>
      <c r="B113" s="22" t="s">
        <v>109</v>
      </c>
      <c r="C113" s="45">
        <v>17.37</v>
      </c>
      <c r="D113" s="98"/>
    </row>
    <row r="114" spans="1:7" ht="16.5" thickBot="1" x14ac:dyDescent="0.3">
      <c r="A114" s="135" t="s">
        <v>66</v>
      </c>
      <c r="B114" s="136"/>
      <c r="C114" s="23">
        <f>SUM(C110:C113)</f>
        <v>46.92</v>
      </c>
    </row>
    <row r="117" spans="1:7" x14ac:dyDescent="0.25">
      <c r="A117" s="134" t="s">
        <v>110</v>
      </c>
      <c r="B117" s="134"/>
      <c r="C117" s="134"/>
    </row>
    <row r="118" spans="1:7" ht="16.5" thickBot="1" x14ac:dyDescent="0.3"/>
    <row r="119" spans="1:7" ht="16.5" thickBot="1" x14ac:dyDescent="0.3">
      <c r="A119" s="19">
        <v>6</v>
      </c>
      <c r="B119" s="33" t="s">
        <v>111</v>
      </c>
      <c r="C119" s="20" t="s">
        <v>55</v>
      </c>
      <c r="D119" s="20" t="s">
        <v>28</v>
      </c>
    </row>
    <row r="120" spans="1:7" ht="16.5" thickBot="1" x14ac:dyDescent="0.3">
      <c r="A120" s="21" t="s">
        <v>29</v>
      </c>
      <c r="B120" s="22" t="s">
        <v>112</v>
      </c>
      <c r="C120" s="34">
        <v>0.02</v>
      </c>
      <c r="D120" s="144">
        <f>(C132+C133+C134+C135+C136)*C126</f>
        <v>507.59781756777613</v>
      </c>
      <c r="G120" s="76"/>
    </row>
    <row r="121" spans="1:7" ht="16.5" thickBot="1" x14ac:dyDescent="0.3">
      <c r="A121" s="21" t="s">
        <v>31</v>
      </c>
      <c r="B121" s="22" t="s">
        <v>113</v>
      </c>
      <c r="C121" s="34">
        <v>2.843E-2</v>
      </c>
      <c r="D121" s="145"/>
    </row>
    <row r="122" spans="1:7" ht="16.5" thickBot="1" x14ac:dyDescent="0.3">
      <c r="A122" s="21" t="s">
        <v>33</v>
      </c>
      <c r="B122" s="22" t="s">
        <v>114</v>
      </c>
      <c r="C122" s="26">
        <f>SUM(C123:C125)</f>
        <v>8.6499999999999994E-2</v>
      </c>
      <c r="D122" s="145"/>
    </row>
    <row r="123" spans="1:7" ht="16.5" thickBot="1" x14ac:dyDescent="0.3">
      <c r="A123" s="21"/>
      <c r="B123" s="35" t="s">
        <v>115</v>
      </c>
      <c r="C123" s="43">
        <v>3.6499999999999998E-2</v>
      </c>
      <c r="D123" s="145"/>
    </row>
    <row r="124" spans="1:7" ht="16.5" thickBot="1" x14ac:dyDescent="0.3">
      <c r="A124" s="21"/>
      <c r="B124" s="35" t="s">
        <v>116</v>
      </c>
      <c r="C124" s="43">
        <v>0</v>
      </c>
      <c r="D124" s="145"/>
    </row>
    <row r="125" spans="1:7" ht="16.5" thickBot="1" x14ac:dyDescent="0.3">
      <c r="A125" s="21"/>
      <c r="B125" s="35" t="s">
        <v>117</v>
      </c>
      <c r="C125" s="37">
        <v>0.05</v>
      </c>
      <c r="D125" s="145"/>
    </row>
    <row r="126" spans="1:7" ht="28.5" customHeight="1" thickBot="1" x14ac:dyDescent="0.3">
      <c r="A126" s="135" t="s">
        <v>66</v>
      </c>
      <c r="B126" s="136"/>
      <c r="C126" s="34">
        <f>(1+C120)/(1-C122-C121)-1</f>
        <v>0.1524512185476854</v>
      </c>
      <c r="D126" s="146"/>
    </row>
    <row r="127" spans="1:7" x14ac:dyDescent="0.25">
      <c r="C127" s="77"/>
    </row>
    <row r="128" spans="1:7" x14ac:dyDescent="0.25">
      <c r="C128" s="76"/>
      <c r="D128" s="77"/>
    </row>
    <row r="129" spans="1:3" x14ac:dyDescent="0.25">
      <c r="A129" s="134" t="s">
        <v>118</v>
      </c>
      <c r="B129" s="134"/>
      <c r="C129" s="134"/>
    </row>
    <row r="130" spans="1:3" ht="16.5" thickBot="1" x14ac:dyDescent="0.3"/>
    <row r="131" spans="1:3" ht="16.5" thickBot="1" x14ac:dyDescent="0.3">
      <c r="A131" s="19"/>
      <c r="B131" s="20" t="s">
        <v>119</v>
      </c>
      <c r="C131" s="20" t="s">
        <v>28</v>
      </c>
    </row>
    <row r="132" spans="1:3" ht="16.5" thickBot="1" x14ac:dyDescent="0.3">
      <c r="A132" s="38" t="s">
        <v>29</v>
      </c>
      <c r="B132" s="22" t="s">
        <v>26</v>
      </c>
      <c r="C132" s="39">
        <f>C17</f>
        <v>1580.42</v>
      </c>
    </row>
    <row r="133" spans="1:3" ht="16.5" thickBot="1" x14ac:dyDescent="0.3">
      <c r="A133" s="38" t="s">
        <v>31</v>
      </c>
      <c r="B133" s="22" t="s">
        <v>44</v>
      </c>
      <c r="C133" s="39">
        <f>C63</f>
        <v>1350.6743776160001</v>
      </c>
    </row>
    <row r="134" spans="1:3" ht="16.5" thickBot="1" x14ac:dyDescent="0.3">
      <c r="A134" s="38" t="s">
        <v>33</v>
      </c>
      <c r="B134" s="22" t="s">
        <v>77</v>
      </c>
      <c r="C134" s="39">
        <f>D74</f>
        <v>73.0470124</v>
      </c>
    </row>
    <row r="135" spans="1:3" ht="16.5" thickBot="1" x14ac:dyDescent="0.3">
      <c r="A135" s="38" t="s">
        <v>35</v>
      </c>
      <c r="B135" s="22" t="s">
        <v>84</v>
      </c>
      <c r="C135" s="40">
        <f>C104</f>
        <v>278.51394826838333</v>
      </c>
    </row>
    <row r="136" spans="1:3" ht="16.5" thickBot="1" x14ac:dyDescent="0.3">
      <c r="A136" s="38" t="s">
        <v>37</v>
      </c>
      <c r="B136" s="22" t="s">
        <v>102</v>
      </c>
      <c r="C136" s="39">
        <f>C114</f>
        <v>46.92</v>
      </c>
    </row>
    <row r="137" spans="1:3" ht="16.5" thickBot="1" x14ac:dyDescent="0.3">
      <c r="A137" s="135" t="s">
        <v>120</v>
      </c>
      <c r="B137" s="136"/>
      <c r="C137" s="39">
        <f>SUM(C132:C136)</f>
        <v>3329.5753382843836</v>
      </c>
    </row>
    <row r="138" spans="1:3" ht="16.5" thickBot="1" x14ac:dyDescent="0.3">
      <c r="A138" s="38" t="s">
        <v>61</v>
      </c>
      <c r="B138" s="22" t="s">
        <v>121</v>
      </c>
      <c r="C138" s="39">
        <f>D120</f>
        <v>507.59781756777613</v>
      </c>
    </row>
    <row r="139" spans="1:3" ht="16.5" thickBot="1" x14ac:dyDescent="0.3">
      <c r="A139" s="135" t="s">
        <v>122</v>
      </c>
      <c r="B139" s="136"/>
      <c r="C139" s="39">
        <f>C138+C137</f>
        <v>3837.1731558521597</v>
      </c>
    </row>
    <row r="140" spans="1:3" ht="14.25" customHeight="1" x14ac:dyDescent="0.25"/>
    <row r="141" spans="1:3" x14ac:dyDescent="0.25">
      <c r="A141" s="16" t="s">
        <v>231</v>
      </c>
      <c r="B141" s="133" t="s">
        <v>232</v>
      </c>
    </row>
    <row r="142" spans="1:3" x14ac:dyDescent="0.25">
      <c r="B142" s="133"/>
    </row>
    <row r="143" spans="1:3" x14ac:dyDescent="0.25">
      <c r="B143" s="133"/>
    </row>
    <row r="144" spans="1:3" x14ac:dyDescent="0.25">
      <c r="B144" s="133"/>
    </row>
    <row r="145" spans="2:2" ht="31.5" customHeight="1" x14ac:dyDescent="0.25">
      <c r="B145" s="133"/>
    </row>
  </sheetData>
  <mergeCells count="34">
    <mergeCell ref="D120:D126"/>
    <mergeCell ref="A126:B126"/>
    <mergeCell ref="A129:C129"/>
    <mergeCell ref="A137:B137"/>
    <mergeCell ref="A1:D1"/>
    <mergeCell ref="A2:D2"/>
    <mergeCell ref="A3:D3"/>
    <mergeCell ref="A7:C7"/>
    <mergeCell ref="A17:B17"/>
    <mergeCell ref="A20:C20"/>
    <mergeCell ref="A22:C22"/>
    <mergeCell ref="A27:B27"/>
    <mergeCell ref="A28:B28"/>
    <mergeCell ref="A29:B29"/>
    <mergeCell ref="A31:D31"/>
    <mergeCell ref="A42:B42"/>
    <mergeCell ref="A74:B74"/>
    <mergeCell ref="A77:C77"/>
    <mergeCell ref="A80:C80"/>
    <mergeCell ref="A45:C45"/>
    <mergeCell ref="A54:B54"/>
    <mergeCell ref="A57:C57"/>
    <mergeCell ref="A63:B63"/>
    <mergeCell ref="A66:C66"/>
    <mergeCell ref="B141:B145"/>
    <mergeCell ref="A89:B89"/>
    <mergeCell ref="A92:C92"/>
    <mergeCell ref="A96:B96"/>
    <mergeCell ref="A99:C99"/>
    <mergeCell ref="A104:B104"/>
    <mergeCell ref="A139:B139"/>
    <mergeCell ref="A107:C107"/>
    <mergeCell ref="A114:B114"/>
    <mergeCell ref="A117:C117"/>
  </mergeCells>
  <pageMargins left="0.7" right="0.7" top="0.75" bottom="0.75" header="0.3" footer="0.3"/>
  <pageSetup paperSize="9" scale="76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C4D06-351E-4340-8FD4-10F9F88D4CBA}">
  <dimension ref="A1:H145"/>
  <sheetViews>
    <sheetView topLeftCell="A126" zoomScaleNormal="100" workbookViewId="0">
      <selection activeCell="A141" sqref="A141"/>
    </sheetView>
  </sheetViews>
  <sheetFormatPr defaultColWidth="9.140625" defaultRowHeight="15.75" x14ac:dyDescent="0.25"/>
  <cols>
    <col min="1" max="1" width="9.140625" style="16"/>
    <col min="2" max="2" width="73" style="16" customWidth="1"/>
    <col min="3" max="3" width="18" style="16" customWidth="1"/>
    <col min="4" max="4" width="14.28515625" style="16" customWidth="1"/>
    <col min="5" max="5" width="12.7109375" style="16" customWidth="1"/>
    <col min="6" max="6" width="12" style="16" customWidth="1"/>
    <col min="7" max="7" width="15.140625" style="16" customWidth="1"/>
    <col min="8" max="16384" width="9.140625" style="16"/>
  </cols>
  <sheetData>
    <row r="1" spans="1:4" ht="23.25" x14ac:dyDescent="0.35">
      <c r="A1" s="142" t="s">
        <v>18</v>
      </c>
      <c r="B1" s="142"/>
      <c r="C1" s="142"/>
      <c r="D1" s="142"/>
    </row>
    <row r="2" spans="1:4" ht="23.25" x14ac:dyDescent="0.35">
      <c r="A2" s="142" t="s">
        <v>19</v>
      </c>
      <c r="B2" s="142"/>
      <c r="C2" s="142"/>
      <c r="D2" s="142"/>
    </row>
    <row r="3" spans="1:4" x14ac:dyDescent="0.25">
      <c r="A3" s="143" t="s">
        <v>20</v>
      </c>
      <c r="B3" s="143"/>
      <c r="C3" s="143"/>
      <c r="D3" s="143"/>
    </row>
    <row r="4" spans="1:4" x14ac:dyDescent="0.25">
      <c r="A4" s="17"/>
      <c r="B4" s="17" t="s">
        <v>21</v>
      </c>
      <c r="C4" s="17" t="s">
        <v>22</v>
      </c>
      <c r="D4" s="18"/>
    </row>
    <row r="5" spans="1:4" ht="15.75" customHeight="1" x14ac:dyDescent="0.25">
      <c r="A5" s="18"/>
      <c r="B5" s="18"/>
      <c r="C5" s="17" t="s">
        <v>23</v>
      </c>
      <c r="D5" s="18"/>
    </row>
    <row r="6" spans="1:4" ht="31.5" x14ac:dyDescent="0.25">
      <c r="A6" s="18"/>
      <c r="B6" s="17" t="s">
        <v>24</v>
      </c>
      <c r="C6" s="44" t="s">
        <v>25</v>
      </c>
      <c r="D6" s="18"/>
    </row>
    <row r="7" spans="1:4" x14ac:dyDescent="0.25">
      <c r="A7" s="134" t="s">
        <v>26</v>
      </c>
      <c r="B7" s="134"/>
      <c r="C7" s="134"/>
    </row>
    <row r="8" spans="1:4" ht="16.5" thickBot="1" x14ac:dyDescent="0.3"/>
    <row r="9" spans="1:4" ht="16.5" thickBot="1" x14ac:dyDescent="0.3">
      <c r="A9" s="19">
        <v>1</v>
      </c>
      <c r="B9" s="20" t="s">
        <v>27</v>
      </c>
      <c r="C9" s="20" t="s">
        <v>28</v>
      </c>
    </row>
    <row r="10" spans="1:4" ht="16.5" thickBot="1" x14ac:dyDescent="0.3">
      <c r="A10" s="21" t="s">
        <v>29</v>
      </c>
      <c r="B10" s="22" t="s">
        <v>30</v>
      </c>
      <c r="C10" s="23">
        <v>1580.42</v>
      </c>
    </row>
    <row r="11" spans="1:4" ht="16.5" thickBot="1" x14ac:dyDescent="0.3">
      <c r="A11" s="21" t="s">
        <v>31</v>
      </c>
      <c r="B11" s="22" t="s">
        <v>32</v>
      </c>
      <c r="C11" s="23"/>
    </row>
    <row r="12" spans="1:4" ht="16.5" thickBot="1" x14ac:dyDescent="0.3">
      <c r="A12" s="21" t="s">
        <v>33</v>
      </c>
      <c r="B12" s="22" t="s">
        <v>123</v>
      </c>
      <c r="C12" s="23">
        <v>588.05999999999995</v>
      </c>
    </row>
    <row r="13" spans="1:4" ht="16.5" thickBot="1" x14ac:dyDescent="0.3">
      <c r="A13" s="21" t="s">
        <v>35</v>
      </c>
      <c r="B13" s="22" t="s">
        <v>36</v>
      </c>
      <c r="C13" s="23"/>
    </row>
    <row r="14" spans="1:4" ht="16.5" thickBot="1" x14ac:dyDescent="0.3">
      <c r="A14" s="21" t="s">
        <v>37</v>
      </c>
      <c r="B14" s="22" t="s">
        <v>38</v>
      </c>
      <c r="C14" s="23"/>
    </row>
    <row r="15" spans="1:4" ht="16.5" thickBot="1" x14ac:dyDescent="0.3">
      <c r="A15" s="21" t="s">
        <v>39</v>
      </c>
      <c r="B15" s="22" t="s">
        <v>40</v>
      </c>
      <c r="C15" s="23"/>
    </row>
    <row r="16" spans="1:4" ht="16.5" thickBot="1" x14ac:dyDescent="0.3">
      <c r="A16" s="21" t="s">
        <v>41</v>
      </c>
      <c r="B16" s="22" t="s">
        <v>42</v>
      </c>
      <c r="C16" s="23"/>
    </row>
    <row r="17" spans="1:4" ht="16.5" thickBot="1" x14ac:dyDescent="0.3">
      <c r="A17" s="135" t="s">
        <v>43</v>
      </c>
      <c r="B17" s="136"/>
      <c r="C17" s="24">
        <f>SUM(C10:C16)</f>
        <v>2168.48</v>
      </c>
    </row>
    <row r="18" spans="1:4" x14ac:dyDescent="0.25">
      <c r="D18" s="77"/>
    </row>
    <row r="20" spans="1:4" x14ac:dyDescent="0.25">
      <c r="A20" s="134" t="s">
        <v>44</v>
      </c>
      <c r="B20" s="134"/>
      <c r="C20" s="134"/>
    </row>
    <row r="21" spans="1:4" x14ac:dyDescent="0.25">
      <c r="A21" s="25"/>
    </row>
    <row r="22" spans="1:4" x14ac:dyDescent="0.25">
      <c r="A22" s="140" t="s">
        <v>45</v>
      </c>
      <c r="B22" s="140"/>
      <c r="C22" s="140"/>
    </row>
    <row r="23" spans="1:4" ht="16.5" thickBot="1" x14ac:dyDescent="0.3"/>
    <row r="24" spans="1:4" ht="16.5" thickBot="1" x14ac:dyDescent="0.3">
      <c r="A24" s="19" t="s">
        <v>46</v>
      </c>
      <c r="B24" s="20" t="s">
        <v>47</v>
      </c>
      <c r="C24" s="20" t="s">
        <v>28</v>
      </c>
    </row>
    <row r="25" spans="1:4" ht="16.5" thickBot="1" x14ac:dyDescent="0.3">
      <c r="A25" s="21" t="s">
        <v>29</v>
      </c>
      <c r="B25" s="22" t="s">
        <v>48</v>
      </c>
      <c r="C25" s="23">
        <f>C17*D25</f>
        <v>180.63438400000001</v>
      </c>
      <c r="D25" s="76">
        <v>8.3299999999999999E-2</v>
      </c>
    </row>
    <row r="26" spans="1:4" ht="16.5" thickBot="1" x14ac:dyDescent="0.3">
      <c r="A26" s="21" t="s">
        <v>31</v>
      </c>
      <c r="B26" s="22" t="s">
        <v>49</v>
      </c>
      <c r="C26" s="45">
        <f>C17*D26</f>
        <v>60.283743999999999</v>
      </c>
      <c r="D26" s="79">
        <v>2.7799999999999998E-2</v>
      </c>
    </row>
    <row r="27" spans="1:4" ht="16.5" thickBot="1" x14ac:dyDescent="0.3">
      <c r="A27" s="135" t="s">
        <v>50</v>
      </c>
      <c r="B27" s="136"/>
      <c r="C27" s="23">
        <f>C26+C25</f>
        <v>240.91812800000002</v>
      </c>
      <c r="D27" s="76">
        <f>SUM(D25:D26)</f>
        <v>0.1111</v>
      </c>
    </row>
    <row r="28" spans="1:4" ht="16.5" hidden="1" thickBot="1" x14ac:dyDescent="0.3">
      <c r="A28" s="135" t="s">
        <v>51</v>
      </c>
      <c r="B28" s="136"/>
      <c r="C28" s="23">
        <f>C27*C42</f>
        <v>88.657871104000023</v>
      </c>
    </row>
    <row r="29" spans="1:4" ht="16.5" hidden="1" thickBot="1" x14ac:dyDescent="0.3">
      <c r="A29" s="135" t="s">
        <v>43</v>
      </c>
      <c r="B29" s="136"/>
      <c r="C29" s="23">
        <f>C28+C27</f>
        <v>329.57599910400006</v>
      </c>
    </row>
    <row r="31" spans="1:4" ht="32.25" customHeight="1" x14ac:dyDescent="0.25">
      <c r="A31" s="141" t="s">
        <v>52</v>
      </c>
      <c r="B31" s="141"/>
      <c r="C31" s="141"/>
      <c r="D31" s="141"/>
    </row>
    <row r="32" spans="1:4" ht="16.5" thickBot="1" x14ac:dyDescent="0.3"/>
    <row r="33" spans="1:4" ht="16.5" thickBot="1" x14ac:dyDescent="0.3">
      <c r="A33" s="19" t="s">
        <v>53</v>
      </c>
      <c r="B33" s="20" t="s">
        <v>54</v>
      </c>
      <c r="C33" s="20" t="s">
        <v>55</v>
      </c>
      <c r="D33" s="20" t="s">
        <v>28</v>
      </c>
    </row>
    <row r="34" spans="1:4" ht="16.5" thickBot="1" x14ac:dyDescent="0.3">
      <c r="A34" s="21" t="s">
        <v>29</v>
      </c>
      <c r="B34" s="22" t="s">
        <v>56</v>
      </c>
      <c r="C34" s="26">
        <v>0.2</v>
      </c>
      <c r="D34" s="23">
        <f>C34*($C$17+$C$27)</f>
        <v>481.8796256</v>
      </c>
    </row>
    <row r="35" spans="1:4" ht="16.5" thickBot="1" x14ac:dyDescent="0.3">
      <c r="A35" s="21" t="s">
        <v>31</v>
      </c>
      <c r="B35" s="22" t="s">
        <v>57</v>
      </c>
      <c r="C35" s="26">
        <v>2.5000000000000001E-2</v>
      </c>
      <c r="D35" s="23">
        <f t="shared" ref="D35:D40" si="0">C35*($C$17+$C$27)</f>
        <v>60.2349532</v>
      </c>
    </row>
    <row r="36" spans="1:4" ht="16.5" thickBot="1" x14ac:dyDescent="0.3">
      <c r="A36" s="21" t="s">
        <v>33</v>
      </c>
      <c r="B36" s="22" t="s">
        <v>58</v>
      </c>
      <c r="C36" s="26">
        <v>0.03</v>
      </c>
      <c r="D36" s="23">
        <f t="shared" si="0"/>
        <v>72.281943839999997</v>
      </c>
    </row>
    <row r="37" spans="1:4" ht="16.5" thickBot="1" x14ac:dyDescent="0.3">
      <c r="A37" s="21" t="s">
        <v>35</v>
      </c>
      <c r="B37" s="22" t="s">
        <v>59</v>
      </c>
      <c r="C37" s="26">
        <v>1.4999999999999999E-2</v>
      </c>
      <c r="D37" s="23">
        <f t="shared" si="0"/>
        <v>36.140971919999998</v>
      </c>
    </row>
    <row r="38" spans="1:4" ht="16.5" thickBot="1" x14ac:dyDescent="0.3">
      <c r="A38" s="21" t="s">
        <v>37</v>
      </c>
      <c r="B38" s="22" t="s">
        <v>60</v>
      </c>
      <c r="C38" s="26">
        <v>0.01</v>
      </c>
      <c r="D38" s="23">
        <f t="shared" si="0"/>
        <v>24.093981279999998</v>
      </c>
    </row>
    <row r="39" spans="1:4" ht="16.5" thickBot="1" x14ac:dyDescent="0.3">
      <c r="A39" s="21" t="s">
        <v>61</v>
      </c>
      <c r="B39" s="22" t="s">
        <v>62</v>
      </c>
      <c r="C39" s="26">
        <v>6.0000000000000001E-3</v>
      </c>
      <c r="D39" s="23">
        <f t="shared" si="0"/>
        <v>14.456388768</v>
      </c>
    </row>
    <row r="40" spans="1:4" ht="16.5" thickBot="1" x14ac:dyDescent="0.3">
      <c r="A40" s="21" t="s">
        <v>41</v>
      </c>
      <c r="B40" s="22" t="s">
        <v>63</v>
      </c>
      <c r="C40" s="26">
        <v>2E-3</v>
      </c>
      <c r="D40" s="23">
        <f t="shared" si="0"/>
        <v>4.8187962559999997</v>
      </c>
    </row>
    <row r="41" spans="1:4" ht="16.5" thickBot="1" x14ac:dyDescent="0.3">
      <c r="A41" s="21" t="s">
        <v>64</v>
      </c>
      <c r="B41" s="22" t="s">
        <v>65</v>
      </c>
      <c r="C41" s="26">
        <v>0.08</v>
      </c>
      <c r="D41" s="23">
        <f>C41*($C$17+$C$27)</f>
        <v>192.75185023999998</v>
      </c>
    </row>
    <row r="42" spans="1:4" ht="16.5" thickBot="1" x14ac:dyDescent="0.3">
      <c r="A42" s="135" t="s">
        <v>66</v>
      </c>
      <c r="B42" s="136"/>
      <c r="C42" s="26">
        <f>SUM(C34:C41)</f>
        <v>0.36800000000000005</v>
      </c>
      <c r="D42" s="23">
        <f>SUM(D34:D41)</f>
        <v>886.65851110400001</v>
      </c>
    </row>
    <row r="45" spans="1:4" x14ac:dyDescent="0.25">
      <c r="A45" s="140" t="s">
        <v>67</v>
      </c>
      <c r="B45" s="140"/>
      <c r="C45" s="140"/>
    </row>
    <row r="46" spans="1:4" ht="16.5" thickBot="1" x14ac:dyDescent="0.3"/>
    <row r="47" spans="1:4" ht="16.5" thickBot="1" x14ac:dyDescent="0.3">
      <c r="A47" s="19" t="s">
        <v>68</v>
      </c>
      <c r="B47" s="20" t="s">
        <v>69</v>
      </c>
      <c r="C47" s="20" t="s">
        <v>28</v>
      </c>
    </row>
    <row r="48" spans="1:4" ht="16.5" thickBot="1" x14ac:dyDescent="0.3">
      <c r="A48" s="21" t="s">
        <v>29</v>
      </c>
      <c r="B48" s="22" t="s">
        <v>70</v>
      </c>
      <c r="C48" s="23">
        <v>169.17</v>
      </c>
    </row>
    <row r="49" spans="1:3" ht="16.5" thickBot="1" x14ac:dyDescent="0.3">
      <c r="A49" s="21" t="s">
        <v>31</v>
      </c>
      <c r="B49" s="22" t="s">
        <v>71</v>
      </c>
      <c r="C49" s="23">
        <v>200</v>
      </c>
    </row>
    <row r="50" spans="1:3" ht="16.5" thickBot="1" x14ac:dyDescent="0.3">
      <c r="A50" s="21" t="s">
        <v>33</v>
      </c>
      <c r="B50" s="22" t="s">
        <v>72</v>
      </c>
      <c r="C50" s="23">
        <v>137.97999999999999</v>
      </c>
    </row>
    <row r="51" spans="1:3" ht="16.5" thickBot="1" x14ac:dyDescent="0.3">
      <c r="A51" s="21" t="s">
        <v>35</v>
      </c>
      <c r="B51" s="22" t="s">
        <v>73</v>
      </c>
      <c r="C51" s="23">
        <v>16.13</v>
      </c>
    </row>
    <row r="52" spans="1:3" ht="16.5" thickBot="1" x14ac:dyDescent="0.3">
      <c r="A52" s="21" t="s">
        <v>37</v>
      </c>
      <c r="B52" s="22" t="s">
        <v>74</v>
      </c>
      <c r="C52" s="23"/>
    </row>
    <row r="53" spans="1:3" ht="16.5" thickBot="1" x14ac:dyDescent="0.3">
      <c r="A53" s="107" t="s">
        <v>61</v>
      </c>
      <c r="B53" s="22" t="s">
        <v>189</v>
      </c>
      <c r="C53" s="23">
        <v>5.6</v>
      </c>
    </row>
    <row r="54" spans="1:3" ht="16.5" thickBot="1" x14ac:dyDescent="0.3">
      <c r="A54" s="135" t="s">
        <v>43</v>
      </c>
      <c r="B54" s="136"/>
      <c r="C54" s="23">
        <f>SUM(C48:C53)</f>
        <v>528.88</v>
      </c>
    </row>
    <row r="57" spans="1:3" x14ac:dyDescent="0.25">
      <c r="A57" s="140" t="s">
        <v>75</v>
      </c>
      <c r="B57" s="140"/>
      <c r="C57" s="140"/>
    </row>
    <row r="58" spans="1:3" ht="16.5" thickBot="1" x14ac:dyDescent="0.3"/>
    <row r="59" spans="1:3" ht="16.5" thickBot="1" x14ac:dyDescent="0.3">
      <c r="A59" s="19">
        <v>2</v>
      </c>
      <c r="B59" s="20" t="s">
        <v>76</v>
      </c>
      <c r="C59" s="20" t="s">
        <v>28</v>
      </c>
    </row>
    <row r="60" spans="1:3" ht="16.5" thickBot="1" x14ac:dyDescent="0.3">
      <c r="A60" s="21" t="s">
        <v>46</v>
      </c>
      <c r="B60" s="22" t="s">
        <v>47</v>
      </c>
      <c r="C60" s="23">
        <f>C27</f>
        <v>240.91812800000002</v>
      </c>
    </row>
    <row r="61" spans="1:3" ht="16.5" thickBot="1" x14ac:dyDescent="0.3">
      <c r="A61" s="21" t="s">
        <v>53</v>
      </c>
      <c r="B61" s="22" t="s">
        <v>54</v>
      </c>
      <c r="C61" s="23">
        <f>D42</f>
        <v>886.65851110400001</v>
      </c>
    </row>
    <row r="62" spans="1:3" ht="16.5" thickBot="1" x14ac:dyDescent="0.3">
      <c r="A62" s="21" t="s">
        <v>68</v>
      </c>
      <c r="B62" s="22" t="s">
        <v>69</v>
      </c>
      <c r="C62" s="23">
        <f>C54</f>
        <v>528.88</v>
      </c>
    </row>
    <row r="63" spans="1:3" ht="16.5" thickBot="1" x14ac:dyDescent="0.3">
      <c r="A63" s="135" t="s">
        <v>43</v>
      </c>
      <c r="B63" s="136"/>
      <c r="C63" s="23">
        <f>SUM(C60:C62)</f>
        <v>1656.4566391040003</v>
      </c>
    </row>
    <row r="64" spans="1:3" x14ac:dyDescent="0.25">
      <c r="A64" s="27"/>
    </row>
    <row r="66" spans="1:8" x14ac:dyDescent="0.25">
      <c r="A66" s="134" t="s">
        <v>77</v>
      </c>
      <c r="B66" s="134"/>
      <c r="C66" s="134"/>
      <c r="H66" s="97"/>
    </row>
    <row r="67" spans="1:8" ht="16.5" thickBot="1" x14ac:dyDescent="0.3"/>
    <row r="68" spans="1:8" ht="16.5" thickBot="1" x14ac:dyDescent="0.3">
      <c r="A68" s="19">
        <v>3</v>
      </c>
      <c r="B68" s="20" t="s">
        <v>78</v>
      </c>
      <c r="C68" s="20" t="s">
        <v>55</v>
      </c>
      <c r="D68" s="20" t="s">
        <v>28</v>
      </c>
    </row>
    <row r="69" spans="1:8" ht="16.5" thickBot="1" x14ac:dyDescent="0.3">
      <c r="A69" s="21" t="s">
        <v>29</v>
      </c>
      <c r="B69" s="28" t="s">
        <v>79</v>
      </c>
      <c r="C69" s="78">
        <f>(1/60)*5%</f>
        <v>8.3333333333333339E-4</v>
      </c>
      <c r="D69" s="45">
        <f>C69*$C$17</f>
        <v>1.8070666666666668</v>
      </c>
    </row>
    <row r="70" spans="1:8" ht="16.5" thickBot="1" x14ac:dyDescent="0.3">
      <c r="A70" s="21" t="s">
        <v>31</v>
      </c>
      <c r="B70" s="28" t="s">
        <v>80</v>
      </c>
      <c r="C70" s="78">
        <f>C69*8%</f>
        <v>6.666666666666667E-5</v>
      </c>
      <c r="D70" s="45">
        <f t="shared" ref="D70:D73" si="1">C70*$C$17</f>
        <v>0.14456533333333335</v>
      </c>
    </row>
    <row r="71" spans="1:8" ht="16.5" thickBot="1" x14ac:dyDescent="0.3">
      <c r="A71" s="21" t="s">
        <v>33</v>
      </c>
      <c r="B71" s="28" t="s">
        <v>124</v>
      </c>
      <c r="C71" s="78">
        <v>0.04</v>
      </c>
      <c r="D71" s="45">
        <f t="shared" si="1"/>
        <v>86.739199999999997</v>
      </c>
    </row>
    <row r="72" spans="1:8" ht="16.5" thickBot="1" x14ac:dyDescent="0.3">
      <c r="A72" s="21" t="s">
        <v>35</v>
      </c>
      <c r="B72" s="28" t="s">
        <v>82</v>
      </c>
      <c r="C72" s="78">
        <f>((100%/30*7))/60</f>
        <v>3.8888888888888888E-3</v>
      </c>
      <c r="D72" s="45">
        <f t="shared" si="1"/>
        <v>8.4329777777777775</v>
      </c>
    </row>
    <row r="73" spans="1:8" ht="26.25" customHeight="1" thickBot="1" x14ac:dyDescent="0.3">
      <c r="A73" s="21" t="s">
        <v>37</v>
      </c>
      <c r="B73" s="28" t="s">
        <v>83</v>
      </c>
      <c r="C73" s="29">
        <f>C42*C72</f>
        <v>1.4311111111111113E-3</v>
      </c>
      <c r="D73" s="23">
        <f t="shared" si="1"/>
        <v>3.1033358222222227</v>
      </c>
    </row>
    <row r="74" spans="1:8" ht="16.5" thickBot="1" x14ac:dyDescent="0.3">
      <c r="A74" s="135" t="s">
        <v>43</v>
      </c>
      <c r="B74" s="136"/>
      <c r="C74" s="30">
        <f>SUM(C69:C73)</f>
        <v>4.6219999999999997E-2</v>
      </c>
      <c r="D74" s="23">
        <f>SUM(D69:D73)</f>
        <v>100.2271456</v>
      </c>
    </row>
    <row r="77" spans="1:8" x14ac:dyDescent="0.25">
      <c r="A77" s="134" t="s">
        <v>84</v>
      </c>
      <c r="B77" s="134"/>
      <c r="C77" s="134"/>
    </row>
    <row r="80" spans="1:8" x14ac:dyDescent="0.25">
      <c r="A80" s="140" t="s">
        <v>85</v>
      </c>
      <c r="B80" s="140"/>
      <c r="C80" s="140"/>
    </row>
    <row r="81" spans="1:4" ht="16.5" thickBot="1" x14ac:dyDescent="0.3">
      <c r="A81" s="25"/>
    </row>
    <row r="82" spans="1:4" ht="16.5" thickBot="1" x14ac:dyDescent="0.3">
      <c r="A82" s="19" t="s">
        <v>86</v>
      </c>
      <c r="B82" s="20" t="s">
        <v>87</v>
      </c>
      <c r="C82" s="20" t="s">
        <v>55</v>
      </c>
      <c r="D82" s="20" t="s">
        <v>28</v>
      </c>
    </row>
    <row r="83" spans="1:4" ht="16.5" thickBot="1" x14ac:dyDescent="0.3">
      <c r="A83" s="21" t="s">
        <v>29</v>
      </c>
      <c r="B83" s="22" t="s">
        <v>88</v>
      </c>
      <c r="C83" s="29">
        <v>8.3299999999999999E-2</v>
      </c>
      <c r="D83" s="23">
        <f>C83*($C$17+$C$63+$D$74)</f>
        <v>326.96614326584319</v>
      </c>
    </row>
    <row r="84" spans="1:4" ht="16.5" thickBot="1" x14ac:dyDescent="0.3">
      <c r="A84" s="21" t="s">
        <v>31</v>
      </c>
      <c r="B84" s="22" t="s">
        <v>89</v>
      </c>
      <c r="C84" s="29">
        <v>8.2000000000000007E-3</v>
      </c>
      <c r="D84" s="23">
        <f t="shared" ref="D84:D88" si="2">C84*($C$17+$C$63+$D$74)</f>
        <v>32.186343034572801</v>
      </c>
    </row>
    <row r="85" spans="1:4" ht="16.5" thickBot="1" x14ac:dyDescent="0.3">
      <c r="A85" s="21" t="s">
        <v>33</v>
      </c>
      <c r="B85" s="22" t="s">
        <v>90</v>
      </c>
      <c r="C85" s="78">
        <v>2.1000000000000001E-4</v>
      </c>
      <c r="D85" s="23">
        <f t="shared" si="2"/>
        <v>0.8242843947878401</v>
      </c>
    </row>
    <row r="86" spans="1:4" ht="16.5" thickBot="1" x14ac:dyDescent="0.3">
      <c r="A86" s="21" t="s">
        <v>35</v>
      </c>
      <c r="B86" s="22" t="s">
        <v>91</v>
      </c>
      <c r="C86" s="78">
        <v>2.9999999999999997E-4</v>
      </c>
      <c r="D86" s="23">
        <f t="shared" si="2"/>
        <v>1.1775491354112</v>
      </c>
    </row>
    <row r="87" spans="1:4" ht="16.5" thickBot="1" x14ac:dyDescent="0.3">
      <c r="A87" s="21" t="s">
        <v>37</v>
      </c>
      <c r="B87" s="22" t="s">
        <v>92</v>
      </c>
      <c r="C87" s="78">
        <v>6.9999999999999999E-4</v>
      </c>
      <c r="D87" s="23">
        <f t="shared" si="2"/>
        <v>2.7476146492928</v>
      </c>
    </row>
    <row r="88" spans="1:4" ht="16.5" thickBot="1" x14ac:dyDescent="0.3">
      <c r="A88" s="21" t="s">
        <v>61</v>
      </c>
      <c r="B88" s="22" t="s">
        <v>93</v>
      </c>
      <c r="C88" s="31">
        <v>0</v>
      </c>
      <c r="D88" s="23">
        <f t="shared" si="2"/>
        <v>0</v>
      </c>
    </row>
    <row r="89" spans="1:4" ht="16.5" thickBot="1" x14ac:dyDescent="0.3">
      <c r="A89" s="135" t="s">
        <v>66</v>
      </c>
      <c r="B89" s="136"/>
      <c r="C89" s="30">
        <f>SUM(C83:C88)</f>
        <v>9.2710000000000001E-2</v>
      </c>
      <c r="D89" s="23">
        <f>SUM(D83:D88)</f>
        <v>363.90193447990788</v>
      </c>
    </row>
    <row r="92" spans="1:4" x14ac:dyDescent="0.25">
      <c r="A92" s="140" t="s">
        <v>94</v>
      </c>
      <c r="B92" s="140"/>
      <c r="C92" s="140"/>
    </row>
    <row r="93" spans="1:4" ht="16.5" thickBot="1" x14ac:dyDescent="0.3">
      <c r="A93" s="25"/>
    </row>
    <row r="94" spans="1:4" ht="16.5" thickBot="1" x14ac:dyDescent="0.3">
      <c r="A94" s="19" t="s">
        <v>95</v>
      </c>
      <c r="B94" s="20" t="s">
        <v>96</v>
      </c>
      <c r="C94" s="20" t="s">
        <v>55</v>
      </c>
      <c r="D94" s="20" t="s">
        <v>28</v>
      </c>
    </row>
    <row r="95" spans="1:4" ht="16.5" thickBot="1" x14ac:dyDescent="0.3">
      <c r="A95" s="21" t="s">
        <v>29</v>
      </c>
      <c r="B95" s="22" t="s">
        <v>97</v>
      </c>
      <c r="C95" s="31">
        <v>0</v>
      </c>
      <c r="D95" s="23">
        <f>C17*C95</f>
        <v>0</v>
      </c>
    </row>
    <row r="96" spans="1:4" ht="16.5" thickBot="1" x14ac:dyDescent="0.3">
      <c r="A96" s="135" t="s">
        <v>43</v>
      </c>
      <c r="B96" s="136"/>
      <c r="C96" s="31">
        <f>C95</f>
        <v>0</v>
      </c>
      <c r="D96" s="23">
        <f>D95</f>
        <v>0</v>
      </c>
    </row>
    <row r="99" spans="1:4" x14ac:dyDescent="0.25">
      <c r="A99" s="140" t="s">
        <v>98</v>
      </c>
      <c r="B99" s="140"/>
      <c r="C99" s="140"/>
    </row>
    <row r="100" spans="1:4" ht="16.5" thickBot="1" x14ac:dyDescent="0.3">
      <c r="A100" s="25"/>
    </row>
    <row r="101" spans="1:4" ht="16.5" thickBot="1" x14ac:dyDescent="0.3">
      <c r="A101" s="19">
        <v>4</v>
      </c>
      <c r="B101" s="20" t="s">
        <v>99</v>
      </c>
      <c r="C101" s="20" t="s">
        <v>28</v>
      </c>
    </row>
    <row r="102" spans="1:4" ht="16.5" thickBot="1" x14ac:dyDescent="0.3">
      <c r="A102" s="21" t="s">
        <v>86</v>
      </c>
      <c r="B102" s="22" t="s">
        <v>100</v>
      </c>
      <c r="C102" s="23">
        <f>D89</f>
        <v>363.90193447990788</v>
      </c>
      <c r="D102" s="76"/>
    </row>
    <row r="103" spans="1:4" ht="16.5" thickBot="1" x14ac:dyDescent="0.3">
      <c r="A103" s="21" t="s">
        <v>95</v>
      </c>
      <c r="B103" s="22" t="s">
        <v>101</v>
      </c>
      <c r="C103" s="23">
        <f>D96</f>
        <v>0</v>
      </c>
      <c r="D103" s="42"/>
    </row>
    <row r="104" spans="1:4" ht="16.5" thickBot="1" x14ac:dyDescent="0.3">
      <c r="A104" s="135" t="s">
        <v>43</v>
      </c>
      <c r="B104" s="136"/>
      <c r="C104" s="23">
        <f>SUM(C102:C103)</f>
        <v>363.90193447990788</v>
      </c>
      <c r="D104" s="42"/>
    </row>
    <row r="107" spans="1:4" x14ac:dyDescent="0.25">
      <c r="A107" s="134" t="s">
        <v>102</v>
      </c>
      <c r="B107" s="134"/>
      <c r="C107" s="134"/>
    </row>
    <row r="108" spans="1:4" ht="16.5" thickBot="1" x14ac:dyDescent="0.3"/>
    <row r="109" spans="1:4" ht="16.5" thickBot="1" x14ac:dyDescent="0.3">
      <c r="A109" s="19">
        <v>5</v>
      </c>
      <c r="B109" s="33" t="s">
        <v>103</v>
      </c>
      <c r="C109" s="20" t="s">
        <v>28</v>
      </c>
    </row>
    <row r="110" spans="1:4" ht="16.5" thickBot="1" x14ac:dyDescent="0.3">
      <c r="A110" s="21" t="s">
        <v>29</v>
      </c>
      <c r="B110" s="22" t="s">
        <v>104</v>
      </c>
      <c r="C110" s="45">
        <v>29.55</v>
      </c>
      <c r="D110" s="98"/>
    </row>
    <row r="111" spans="1:4" ht="16.5" thickBot="1" x14ac:dyDescent="0.3">
      <c r="A111" s="21" t="s">
        <v>31</v>
      </c>
      <c r="B111" s="22" t="s">
        <v>105</v>
      </c>
      <c r="C111" s="45"/>
    </row>
    <row r="112" spans="1:4" ht="16.5" thickBot="1" x14ac:dyDescent="0.3">
      <c r="A112" s="21" t="s">
        <v>33</v>
      </c>
      <c r="B112" s="22" t="s">
        <v>107</v>
      </c>
      <c r="C112" s="45">
        <v>0</v>
      </c>
    </row>
    <row r="113" spans="1:7" ht="16.5" thickBot="1" x14ac:dyDescent="0.3">
      <c r="A113" s="21" t="s">
        <v>35</v>
      </c>
      <c r="B113" s="22" t="s">
        <v>109</v>
      </c>
      <c r="C113" s="45">
        <v>17.37</v>
      </c>
      <c r="D113" s="98"/>
    </row>
    <row r="114" spans="1:7" ht="16.5" thickBot="1" x14ac:dyDescent="0.3">
      <c r="A114" s="135" t="s">
        <v>66</v>
      </c>
      <c r="B114" s="136"/>
      <c r="C114" s="23">
        <f>SUM(C110:C113)</f>
        <v>46.92</v>
      </c>
    </row>
    <row r="117" spans="1:7" x14ac:dyDescent="0.25">
      <c r="A117" s="134" t="s">
        <v>110</v>
      </c>
      <c r="B117" s="134"/>
      <c r="C117" s="134"/>
    </row>
    <row r="118" spans="1:7" ht="16.5" thickBot="1" x14ac:dyDescent="0.3"/>
    <row r="119" spans="1:7" ht="16.5" thickBot="1" x14ac:dyDescent="0.3">
      <c r="A119" s="19">
        <v>6</v>
      </c>
      <c r="B119" s="33" t="s">
        <v>111</v>
      </c>
      <c r="C119" s="20" t="s">
        <v>55</v>
      </c>
      <c r="D119" s="20" t="s">
        <v>28</v>
      </c>
    </row>
    <row r="120" spans="1:7" ht="16.5" thickBot="1" x14ac:dyDescent="0.3">
      <c r="A120" s="21" t="s">
        <v>29</v>
      </c>
      <c r="B120" s="22" t="s">
        <v>112</v>
      </c>
      <c r="C120" s="34">
        <v>0.02</v>
      </c>
      <c r="D120" s="144">
        <f>(C132+C133+C134+C135+C136)*C126</f>
        <v>661.02630649494881</v>
      </c>
      <c r="G120" s="76"/>
    </row>
    <row r="121" spans="1:7" ht="16.5" thickBot="1" x14ac:dyDescent="0.3">
      <c r="A121" s="21" t="s">
        <v>31</v>
      </c>
      <c r="B121" s="22" t="s">
        <v>113</v>
      </c>
      <c r="C121" s="34">
        <v>2.843E-2</v>
      </c>
      <c r="D121" s="145"/>
    </row>
    <row r="122" spans="1:7" ht="16.5" thickBot="1" x14ac:dyDescent="0.3">
      <c r="A122" s="21" t="s">
        <v>33</v>
      </c>
      <c r="B122" s="22" t="s">
        <v>114</v>
      </c>
      <c r="C122" s="26">
        <f>SUM(C123:C125)</f>
        <v>8.6499999999999994E-2</v>
      </c>
      <c r="D122" s="145"/>
    </row>
    <row r="123" spans="1:7" ht="16.5" thickBot="1" x14ac:dyDescent="0.3">
      <c r="A123" s="21"/>
      <c r="B123" s="35" t="s">
        <v>115</v>
      </c>
      <c r="C123" s="43">
        <v>3.6499999999999998E-2</v>
      </c>
      <c r="D123" s="145"/>
    </row>
    <row r="124" spans="1:7" ht="16.5" thickBot="1" x14ac:dyDescent="0.3">
      <c r="A124" s="21"/>
      <c r="B124" s="35" t="s">
        <v>116</v>
      </c>
      <c r="C124" s="43">
        <v>0</v>
      </c>
      <c r="D124" s="145"/>
    </row>
    <row r="125" spans="1:7" ht="16.5" thickBot="1" x14ac:dyDescent="0.3">
      <c r="A125" s="21"/>
      <c r="B125" s="35" t="s">
        <v>117</v>
      </c>
      <c r="C125" s="37">
        <v>0.05</v>
      </c>
      <c r="D125" s="145"/>
    </row>
    <row r="126" spans="1:7" ht="28.5" customHeight="1" thickBot="1" x14ac:dyDescent="0.3">
      <c r="A126" s="135" t="s">
        <v>66</v>
      </c>
      <c r="B126" s="136"/>
      <c r="C126" s="34">
        <f>(1+C120)/(1-C122-C121)-1</f>
        <v>0.1524512185476854</v>
      </c>
      <c r="D126" s="146"/>
    </row>
    <row r="127" spans="1:7" x14ac:dyDescent="0.25">
      <c r="C127" s="77"/>
    </row>
    <row r="128" spans="1:7" x14ac:dyDescent="0.25">
      <c r="C128" s="76"/>
      <c r="D128" s="77"/>
    </row>
    <row r="129" spans="1:3" x14ac:dyDescent="0.25">
      <c r="A129" s="134" t="s">
        <v>118</v>
      </c>
      <c r="B129" s="134"/>
      <c r="C129" s="134"/>
    </row>
    <row r="130" spans="1:3" ht="16.5" thickBot="1" x14ac:dyDescent="0.3"/>
    <row r="131" spans="1:3" ht="16.5" thickBot="1" x14ac:dyDescent="0.3">
      <c r="A131" s="19"/>
      <c r="B131" s="20" t="s">
        <v>119</v>
      </c>
      <c r="C131" s="20" t="s">
        <v>28</v>
      </c>
    </row>
    <row r="132" spans="1:3" ht="16.5" thickBot="1" x14ac:dyDescent="0.3">
      <c r="A132" s="38" t="s">
        <v>29</v>
      </c>
      <c r="B132" s="22" t="s">
        <v>26</v>
      </c>
      <c r="C132" s="39">
        <f>C17</f>
        <v>2168.48</v>
      </c>
    </row>
    <row r="133" spans="1:3" ht="16.5" thickBot="1" x14ac:dyDescent="0.3">
      <c r="A133" s="38" t="s">
        <v>31</v>
      </c>
      <c r="B133" s="22" t="s">
        <v>44</v>
      </c>
      <c r="C133" s="39">
        <f>C63</f>
        <v>1656.4566391040003</v>
      </c>
    </row>
    <row r="134" spans="1:3" ht="16.5" thickBot="1" x14ac:dyDescent="0.3">
      <c r="A134" s="38" t="s">
        <v>33</v>
      </c>
      <c r="B134" s="22" t="s">
        <v>77</v>
      </c>
      <c r="C134" s="39">
        <f>D74</f>
        <v>100.2271456</v>
      </c>
    </row>
    <row r="135" spans="1:3" ht="16.5" thickBot="1" x14ac:dyDescent="0.3">
      <c r="A135" s="38" t="s">
        <v>35</v>
      </c>
      <c r="B135" s="22" t="s">
        <v>84</v>
      </c>
      <c r="C135" s="40">
        <f>C104</f>
        <v>363.90193447990788</v>
      </c>
    </row>
    <row r="136" spans="1:3" ht="16.5" thickBot="1" x14ac:dyDescent="0.3">
      <c r="A136" s="38" t="s">
        <v>37</v>
      </c>
      <c r="B136" s="22" t="s">
        <v>102</v>
      </c>
      <c r="C136" s="39">
        <f>C114</f>
        <v>46.92</v>
      </c>
    </row>
    <row r="137" spans="1:3" ht="16.5" thickBot="1" x14ac:dyDescent="0.3">
      <c r="A137" s="135" t="s">
        <v>120</v>
      </c>
      <c r="B137" s="136"/>
      <c r="C137" s="39">
        <f>SUM(C132:C136)</f>
        <v>4335.9857191839083</v>
      </c>
    </row>
    <row r="138" spans="1:3" ht="16.5" thickBot="1" x14ac:dyDescent="0.3">
      <c r="A138" s="38" t="s">
        <v>61</v>
      </c>
      <c r="B138" s="22" t="s">
        <v>121</v>
      </c>
      <c r="C138" s="39">
        <f>D120</f>
        <v>661.02630649494881</v>
      </c>
    </row>
    <row r="139" spans="1:3" ht="16.5" thickBot="1" x14ac:dyDescent="0.3">
      <c r="A139" s="135" t="s">
        <v>122</v>
      </c>
      <c r="B139" s="136"/>
      <c r="C139" s="39">
        <f>C138+C137</f>
        <v>4997.0120256788568</v>
      </c>
    </row>
    <row r="140" spans="1:3" ht="14.25" customHeight="1" x14ac:dyDescent="0.25"/>
    <row r="141" spans="1:3" x14ac:dyDescent="0.25">
      <c r="A141" s="16" t="s">
        <v>231</v>
      </c>
      <c r="B141" s="133" t="s">
        <v>232</v>
      </c>
    </row>
    <row r="142" spans="1:3" x14ac:dyDescent="0.25">
      <c r="B142" s="133"/>
    </row>
    <row r="143" spans="1:3" x14ac:dyDescent="0.25">
      <c r="B143" s="133"/>
    </row>
    <row r="144" spans="1:3" x14ac:dyDescent="0.25">
      <c r="B144" s="133"/>
    </row>
    <row r="145" spans="2:2" ht="29.25" customHeight="1" x14ac:dyDescent="0.25">
      <c r="B145" s="133"/>
    </row>
  </sheetData>
  <mergeCells count="34">
    <mergeCell ref="A139:B139"/>
    <mergeCell ref="A117:C117"/>
    <mergeCell ref="D120:D126"/>
    <mergeCell ref="A126:B126"/>
    <mergeCell ref="A129:C129"/>
    <mergeCell ref="A137:B137"/>
    <mergeCell ref="A104:B104"/>
    <mergeCell ref="A107:C107"/>
    <mergeCell ref="A42:B42"/>
    <mergeCell ref="A45:C45"/>
    <mergeCell ref="A54:B54"/>
    <mergeCell ref="A57:C57"/>
    <mergeCell ref="A63:B63"/>
    <mergeCell ref="A66:C66"/>
    <mergeCell ref="A74:B74"/>
    <mergeCell ref="A77:C77"/>
    <mergeCell ref="A80:C80"/>
    <mergeCell ref="A89:B89"/>
    <mergeCell ref="B141:B145"/>
    <mergeCell ref="A114:B114"/>
    <mergeCell ref="A1:D1"/>
    <mergeCell ref="A2:D2"/>
    <mergeCell ref="A3:D3"/>
    <mergeCell ref="A7:C7"/>
    <mergeCell ref="A17:B17"/>
    <mergeCell ref="A20:C20"/>
    <mergeCell ref="A22:C22"/>
    <mergeCell ref="A27:B27"/>
    <mergeCell ref="A28:B28"/>
    <mergeCell ref="A29:B29"/>
    <mergeCell ref="A31:D31"/>
    <mergeCell ref="A92:C92"/>
    <mergeCell ref="A96:B96"/>
    <mergeCell ref="A99:C99"/>
  </mergeCells>
  <pageMargins left="0.7" right="0.7" top="0.75" bottom="0.75" header="0.3" footer="0.3"/>
  <pageSetup paperSize="9" scale="76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40"/>
  <sheetViews>
    <sheetView view="pageBreakPreview" topLeftCell="A103" zoomScaleNormal="100" zoomScaleSheetLayoutView="100" workbookViewId="0">
      <selection activeCell="C114" sqref="C114"/>
    </sheetView>
  </sheetViews>
  <sheetFormatPr defaultColWidth="9.140625" defaultRowHeight="15.75" x14ac:dyDescent="0.25"/>
  <cols>
    <col min="1" max="1" width="9.140625" style="16"/>
    <col min="2" max="2" width="72.140625" style="16" customWidth="1"/>
    <col min="3" max="3" width="18" style="16" customWidth="1"/>
    <col min="4" max="4" width="14.28515625" style="16" customWidth="1"/>
    <col min="5" max="5" width="12.7109375" style="16" customWidth="1"/>
    <col min="6" max="6" width="12" style="16" customWidth="1"/>
    <col min="7" max="7" width="15.140625" style="16" customWidth="1"/>
    <col min="8" max="16384" width="9.140625" style="16"/>
  </cols>
  <sheetData>
    <row r="1" spans="1:4" ht="23.25" x14ac:dyDescent="0.35">
      <c r="A1" s="142" t="s">
        <v>18</v>
      </c>
      <c r="B1" s="142"/>
      <c r="C1" s="142"/>
      <c r="D1" s="142"/>
    </row>
    <row r="2" spans="1:4" ht="23.25" x14ac:dyDescent="0.35">
      <c r="A2" s="142" t="s">
        <v>19</v>
      </c>
      <c r="B2" s="142"/>
      <c r="C2" s="142"/>
      <c r="D2" s="142"/>
    </row>
    <row r="3" spans="1:4" x14ac:dyDescent="0.25">
      <c r="A3" s="143" t="s">
        <v>20</v>
      </c>
      <c r="B3" s="143"/>
      <c r="C3" s="143"/>
      <c r="D3" s="143"/>
    </row>
    <row r="4" spans="1:4" x14ac:dyDescent="0.25">
      <c r="A4" s="17"/>
      <c r="B4" s="17" t="s">
        <v>21</v>
      </c>
      <c r="C4" s="17" t="s">
        <v>22</v>
      </c>
      <c r="D4" s="18"/>
    </row>
    <row r="5" spans="1:4" x14ac:dyDescent="0.25">
      <c r="A5" s="18"/>
      <c r="B5" s="18"/>
      <c r="C5" s="17" t="s">
        <v>125</v>
      </c>
      <c r="D5" s="18"/>
    </row>
    <row r="6" spans="1:4" ht="32.25" customHeight="1" x14ac:dyDescent="0.25">
      <c r="A6" s="18"/>
      <c r="B6" s="17" t="s">
        <v>24</v>
      </c>
      <c r="C6" s="44" t="s">
        <v>126</v>
      </c>
      <c r="D6" s="18"/>
    </row>
    <row r="7" spans="1:4" x14ac:dyDescent="0.25">
      <c r="A7" s="134" t="s">
        <v>26</v>
      </c>
      <c r="B7" s="134"/>
      <c r="C7" s="134"/>
    </row>
    <row r="8" spans="1:4" ht="16.5" thickBot="1" x14ac:dyDescent="0.3"/>
    <row r="9" spans="1:4" ht="16.5" thickBot="1" x14ac:dyDescent="0.3">
      <c r="A9" s="19">
        <v>1</v>
      </c>
      <c r="B9" s="20" t="s">
        <v>27</v>
      </c>
      <c r="C9" s="20" t="s">
        <v>28</v>
      </c>
    </row>
    <row r="10" spans="1:4" ht="16.5" thickBot="1" x14ac:dyDescent="0.3">
      <c r="A10" s="21" t="s">
        <v>29</v>
      </c>
      <c r="B10" s="22" t="s">
        <v>30</v>
      </c>
      <c r="C10" s="23">
        <v>1040</v>
      </c>
    </row>
    <row r="11" spans="1:4" ht="16.5" thickBot="1" x14ac:dyDescent="0.3">
      <c r="A11" s="21" t="s">
        <v>31</v>
      </c>
      <c r="B11" s="22" t="s">
        <v>32</v>
      </c>
      <c r="C11" s="23"/>
    </row>
    <row r="12" spans="1:4" ht="16.5" thickBot="1" x14ac:dyDescent="0.3">
      <c r="A12" s="21" t="s">
        <v>33</v>
      </c>
      <c r="B12" s="22" t="s">
        <v>127</v>
      </c>
      <c r="C12" s="23">
        <f>C10*0.4</f>
        <v>416</v>
      </c>
    </row>
    <row r="13" spans="1:4" ht="16.5" thickBot="1" x14ac:dyDescent="0.3">
      <c r="A13" s="21" t="s">
        <v>35</v>
      </c>
      <c r="B13" s="22" t="s">
        <v>36</v>
      </c>
      <c r="C13" s="23"/>
    </row>
    <row r="14" spans="1:4" ht="16.5" thickBot="1" x14ac:dyDescent="0.3">
      <c r="A14" s="21" t="s">
        <v>37</v>
      </c>
      <c r="B14" s="22" t="s">
        <v>38</v>
      </c>
      <c r="C14" s="23"/>
    </row>
    <row r="15" spans="1:4" ht="16.5" thickBot="1" x14ac:dyDescent="0.3">
      <c r="A15" s="21" t="s">
        <v>39</v>
      </c>
      <c r="B15" s="22" t="s">
        <v>40</v>
      </c>
      <c r="C15" s="23"/>
    </row>
    <row r="16" spans="1:4" ht="16.5" thickBot="1" x14ac:dyDescent="0.3">
      <c r="A16" s="21" t="s">
        <v>41</v>
      </c>
      <c r="B16" s="22" t="s">
        <v>42</v>
      </c>
      <c r="C16" s="23"/>
    </row>
    <row r="17" spans="1:4" ht="16.5" thickBot="1" x14ac:dyDescent="0.3">
      <c r="A17" s="135" t="s">
        <v>43</v>
      </c>
      <c r="B17" s="136"/>
      <c r="C17" s="24">
        <f>SUM(C10:C16)</f>
        <v>1456</v>
      </c>
    </row>
    <row r="20" spans="1:4" x14ac:dyDescent="0.25">
      <c r="A20" s="134" t="s">
        <v>44</v>
      </c>
      <c r="B20" s="134"/>
      <c r="C20" s="134"/>
    </row>
    <row r="21" spans="1:4" x14ac:dyDescent="0.25">
      <c r="A21" s="25"/>
    </row>
    <row r="22" spans="1:4" x14ac:dyDescent="0.25">
      <c r="A22" s="140" t="s">
        <v>45</v>
      </c>
      <c r="B22" s="140"/>
      <c r="C22" s="140"/>
    </row>
    <row r="23" spans="1:4" ht="16.5" thickBot="1" x14ac:dyDescent="0.3"/>
    <row r="24" spans="1:4" ht="16.5" thickBot="1" x14ac:dyDescent="0.3">
      <c r="A24" s="19" t="s">
        <v>46</v>
      </c>
      <c r="B24" s="20" t="s">
        <v>47</v>
      </c>
      <c r="C24" s="20" t="s">
        <v>28</v>
      </c>
    </row>
    <row r="25" spans="1:4" ht="16.5" thickBot="1" x14ac:dyDescent="0.3">
      <c r="A25" s="21" t="s">
        <v>29</v>
      </c>
      <c r="B25" s="22" t="s">
        <v>48</v>
      </c>
      <c r="C25" s="23">
        <f>C17/12</f>
        <v>121.33333333333333</v>
      </c>
    </row>
    <row r="26" spans="1:4" ht="16.5" thickBot="1" x14ac:dyDescent="0.3">
      <c r="A26" s="21" t="s">
        <v>31</v>
      </c>
      <c r="B26" s="22" t="s">
        <v>128</v>
      </c>
      <c r="C26" s="23">
        <f>((C17*1/3))/12</f>
        <v>40.444444444444443</v>
      </c>
    </row>
    <row r="27" spans="1:4" ht="16.5" thickBot="1" x14ac:dyDescent="0.3">
      <c r="A27" s="135" t="s">
        <v>50</v>
      </c>
      <c r="B27" s="136"/>
      <c r="C27" s="23">
        <f>C26+C25</f>
        <v>161.77777777777777</v>
      </c>
    </row>
    <row r="28" spans="1:4" ht="16.5" thickBot="1" x14ac:dyDescent="0.3">
      <c r="A28" s="135" t="s">
        <v>51</v>
      </c>
      <c r="B28" s="136"/>
      <c r="C28" s="23">
        <f>C27*C42</f>
        <v>59.534222222222226</v>
      </c>
    </row>
    <row r="29" spans="1:4" ht="16.5" thickBot="1" x14ac:dyDescent="0.3">
      <c r="A29" s="135" t="s">
        <v>43</v>
      </c>
      <c r="B29" s="136"/>
      <c r="C29" s="23">
        <f>C28+C27</f>
        <v>221.31200000000001</v>
      </c>
    </row>
    <row r="31" spans="1:4" ht="32.25" customHeight="1" x14ac:dyDescent="0.25">
      <c r="A31" s="141" t="s">
        <v>52</v>
      </c>
      <c r="B31" s="141"/>
      <c r="C31" s="141"/>
      <c r="D31" s="141"/>
    </row>
    <row r="32" spans="1:4" ht="16.5" thickBot="1" x14ac:dyDescent="0.3"/>
    <row r="33" spans="1:4" ht="16.5" thickBot="1" x14ac:dyDescent="0.3">
      <c r="A33" s="19" t="s">
        <v>53</v>
      </c>
      <c r="B33" s="20" t="s">
        <v>54</v>
      </c>
      <c r="C33" s="20" t="s">
        <v>55</v>
      </c>
      <c r="D33" s="20" t="s">
        <v>28</v>
      </c>
    </row>
    <row r="34" spans="1:4" ht="16.5" thickBot="1" x14ac:dyDescent="0.3">
      <c r="A34" s="21" t="s">
        <v>29</v>
      </c>
      <c r="B34" s="22" t="s">
        <v>56</v>
      </c>
      <c r="C34" s="26">
        <v>0.2</v>
      </c>
      <c r="D34" s="23">
        <f>C34*$C$17</f>
        <v>291.2</v>
      </c>
    </row>
    <row r="35" spans="1:4" ht="16.5" thickBot="1" x14ac:dyDescent="0.3">
      <c r="A35" s="21" t="s">
        <v>31</v>
      </c>
      <c r="B35" s="22" t="s">
        <v>57</v>
      </c>
      <c r="C35" s="26">
        <v>2.5000000000000001E-2</v>
      </c>
      <c r="D35" s="23">
        <f t="shared" ref="D35:D40" si="0">C35*$C$17</f>
        <v>36.4</v>
      </c>
    </row>
    <row r="36" spans="1:4" ht="16.5" thickBot="1" x14ac:dyDescent="0.3">
      <c r="A36" s="21" t="s">
        <v>33</v>
      </c>
      <c r="B36" s="22" t="s">
        <v>58</v>
      </c>
      <c r="C36" s="26">
        <v>0.03</v>
      </c>
      <c r="D36" s="23">
        <f t="shared" si="0"/>
        <v>43.68</v>
      </c>
    </row>
    <row r="37" spans="1:4" ht="16.5" thickBot="1" x14ac:dyDescent="0.3">
      <c r="A37" s="21" t="s">
        <v>35</v>
      </c>
      <c r="B37" s="22" t="s">
        <v>59</v>
      </c>
      <c r="C37" s="26">
        <v>1.4999999999999999E-2</v>
      </c>
      <c r="D37" s="23">
        <f t="shared" si="0"/>
        <v>21.84</v>
      </c>
    </row>
    <row r="38" spans="1:4" ht="16.5" thickBot="1" x14ac:dyDescent="0.3">
      <c r="A38" s="21" t="s">
        <v>37</v>
      </c>
      <c r="B38" s="22" t="s">
        <v>60</v>
      </c>
      <c r="C38" s="26">
        <v>0.01</v>
      </c>
      <c r="D38" s="23">
        <f t="shared" si="0"/>
        <v>14.56</v>
      </c>
    </row>
    <row r="39" spans="1:4" ht="16.5" thickBot="1" x14ac:dyDescent="0.3">
      <c r="A39" s="21" t="s">
        <v>61</v>
      </c>
      <c r="B39" s="22" t="s">
        <v>62</v>
      </c>
      <c r="C39" s="26">
        <v>6.0000000000000001E-3</v>
      </c>
      <c r="D39" s="23">
        <f t="shared" si="0"/>
        <v>8.7360000000000007</v>
      </c>
    </row>
    <row r="40" spans="1:4" ht="16.5" thickBot="1" x14ac:dyDescent="0.3">
      <c r="A40" s="21" t="s">
        <v>41</v>
      </c>
      <c r="B40" s="22" t="s">
        <v>63</v>
      </c>
      <c r="C40" s="26">
        <v>2E-3</v>
      </c>
      <c r="D40" s="23">
        <f t="shared" si="0"/>
        <v>2.9119999999999999</v>
      </c>
    </row>
    <row r="41" spans="1:4" ht="16.5" thickBot="1" x14ac:dyDescent="0.3">
      <c r="A41" s="21" t="s">
        <v>64</v>
      </c>
      <c r="B41" s="22" t="s">
        <v>65</v>
      </c>
      <c r="C41" s="26">
        <v>0.08</v>
      </c>
      <c r="D41" s="23">
        <f>C41*$C$17</f>
        <v>116.48</v>
      </c>
    </row>
    <row r="42" spans="1:4" ht="16.5" thickBot="1" x14ac:dyDescent="0.3">
      <c r="A42" s="135" t="s">
        <v>66</v>
      </c>
      <c r="B42" s="136"/>
      <c r="C42" s="26">
        <f>SUM(C34:C41)</f>
        <v>0.36800000000000005</v>
      </c>
      <c r="D42" s="23">
        <f>SUM(D34:D41)</f>
        <v>535.80799999999988</v>
      </c>
    </row>
    <row r="45" spans="1:4" x14ac:dyDescent="0.25">
      <c r="A45" s="140" t="s">
        <v>67</v>
      </c>
      <c r="B45" s="140"/>
      <c r="C45" s="140"/>
    </row>
    <row r="46" spans="1:4" ht="16.5" thickBot="1" x14ac:dyDescent="0.3"/>
    <row r="47" spans="1:4" ht="16.5" thickBot="1" x14ac:dyDescent="0.3">
      <c r="A47" s="19" t="s">
        <v>68</v>
      </c>
      <c r="B47" s="20" t="s">
        <v>69</v>
      </c>
      <c r="C47" s="20" t="s">
        <v>28</v>
      </c>
    </row>
    <row r="48" spans="1:4" ht="16.5" thickBot="1" x14ac:dyDescent="0.3">
      <c r="A48" s="21" t="s">
        <v>29</v>
      </c>
      <c r="B48" s="22" t="s">
        <v>70</v>
      </c>
      <c r="C48" s="23">
        <f>(52*3.65)-(C17*6%)</f>
        <v>102.43999999999998</v>
      </c>
    </row>
    <row r="49" spans="1:3" ht="16.5" thickBot="1" x14ac:dyDescent="0.3">
      <c r="A49" s="21" t="s">
        <v>31</v>
      </c>
      <c r="B49" s="22" t="s">
        <v>71</v>
      </c>
      <c r="C49" s="23">
        <f>152.49*0.8</f>
        <v>121.99200000000002</v>
      </c>
    </row>
    <row r="50" spans="1:3" ht="16.5" thickBot="1" x14ac:dyDescent="0.3">
      <c r="A50" s="21" t="s">
        <v>33</v>
      </c>
      <c r="B50" s="22" t="s">
        <v>129</v>
      </c>
      <c r="C50" s="23">
        <v>3.7</v>
      </c>
    </row>
    <row r="51" spans="1:3" ht="16.5" thickBot="1" x14ac:dyDescent="0.3">
      <c r="A51" s="21" t="s">
        <v>35</v>
      </c>
      <c r="B51" s="22" t="s">
        <v>73</v>
      </c>
      <c r="C51" s="23">
        <v>10</v>
      </c>
    </row>
    <row r="52" spans="1:3" ht="16.5" thickBot="1" x14ac:dyDescent="0.3">
      <c r="A52" s="21" t="s">
        <v>37</v>
      </c>
      <c r="B52" s="22" t="s">
        <v>130</v>
      </c>
      <c r="C52" s="23">
        <v>90</v>
      </c>
    </row>
    <row r="53" spans="1:3" ht="16.5" thickBot="1" x14ac:dyDescent="0.3">
      <c r="A53" s="135" t="s">
        <v>43</v>
      </c>
      <c r="B53" s="136"/>
      <c r="C53" s="23">
        <f>SUM(C48:C52)</f>
        <v>328.13200000000001</v>
      </c>
    </row>
    <row r="56" spans="1:3" x14ac:dyDescent="0.25">
      <c r="A56" s="140" t="s">
        <v>75</v>
      </c>
      <c r="B56" s="140"/>
      <c r="C56" s="140"/>
    </row>
    <row r="57" spans="1:3" ht="16.5" thickBot="1" x14ac:dyDescent="0.3"/>
    <row r="58" spans="1:3" ht="16.5" thickBot="1" x14ac:dyDescent="0.3">
      <c r="A58" s="19">
        <v>2</v>
      </c>
      <c r="B58" s="20" t="s">
        <v>76</v>
      </c>
      <c r="C58" s="20" t="s">
        <v>28</v>
      </c>
    </row>
    <row r="59" spans="1:3" ht="16.5" thickBot="1" x14ac:dyDescent="0.3">
      <c r="A59" s="21" t="s">
        <v>46</v>
      </c>
      <c r="B59" s="22" t="s">
        <v>47</v>
      </c>
      <c r="C59" s="23">
        <f>C29</f>
        <v>221.31200000000001</v>
      </c>
    </row>
    <row r="60" spans="1:3" ht="16.5" thickBot="1" x14ac:dyDescent="0.3">
      <c r="A60" s="21" t="s">
        <v>53</v>
      </c>
      <c r="B60" s="22" t="s">
        <v>54</v>
      </c>
      <c r="C60" s="23">
        <f>D42</f>
        <v>535.80799999999988</v>
      </c>
    </row>
    <row r="61" spans="1:3" ht="16.5" thickBot="1" x14ac:dyDescent="0.3">
      <c r="A61" s="21" t="s">
        <v>68</v>
      </c>
      <c r="B61" s="22" t="s">
        <v>69</v>
      </c>
      <c r="C61" s="23">
        <f>C53</f>
        <v>328.13200000000001</v>
      </c>
    </row>
    <row r="62" spans="1:3" ht="16.5" thickBot="1" x14ac:dyDescent="0.3">
      <c r="A62" s="135" t="s">
        <v>43</v>
      </c>
      <c r="B62" s="136"/>
      <c r="C62" s="23">
        <f>SUM(C59:C61)</f>
        <v>1085.252</v>
      </c>
    </row>
    <row r="63" spans="1:3" x14ac:dyDescent="0.25">
      <c r="A63" s="27"/>
    </row>
    <row r="65" spans="1:4" x14ac:dyDescent="0.25">
      <c r="A65" s="134" t="s">
        <v>77</v>
      </c>
      <c r="B65" s="134"/>
      <c r="C65" s="134"/>
    </row>
    <row r="66" spans="1:4" ht="16.5" thickBot="1" x14ac:dyDescent="0.3"/>
    <row r="67" spans="1:4" ht="16.5" thickBot="1" x14ac:dyDescent="0.3">
      <c r="A67" s="19">
        <v>3</v>
      </c>
      <c r="B67" s="20" t="s">
        <v>78</v>
      </c>
      <c r="C67" s="20" t="s">
        <v>55</v>
      </c>
      <c r="D67" s="20" t="s">
        <v>28</v>
      </c>
    </row>
    <row r="68" spans="1:4" ht="16.5" thickBot="1" x14ac:dyDescent="0.3">
      <c r="A68" s="21" t="s">
        <v>29</v>
      </c>
      <c r="B68" s="28" t="s">
        <v>79</v>
      </c>
      <c r="C68" s="29">
        <v>4.1700000000000001E-3</v>
      </c>
      <c r="D68" s="23">
        <f>C68*$C$17</f>
        <v>6.0715200000000005</v>
      </c>
    </row>
    <row r="69" spans="1:4" ht="16.5" thickBot="1" x14ac:dyDescent="0.3">
      <c r="A69" s="21" t="s">
        <v>31</v>
      </c>
      <c r="B69" s="28" t="s">
        <v>80</v>
      </c>
      <c r="C69" s="29">
        <v>3.3E-4</v>
      </c>
      <c r="D69" s="23">
        <f t="shared" ref="D69:D72" si="1">C69*$C$17</f>
        <v>0.48048000000000002</v>
      </c>
    </row>
    <row r="70" spans="1:4" ht="16.5" thickBot="1" x14ac:dyDescent="0.3">
      <c r="A70" s="21" t="s">
        <v>33</v>
      </c>
      <c r="B70" s="28" t="s">
        <v>131</v>
      </c>
      <c r="C70" s="29">
        <v>3.2000000000000001E-2</v>
      </c>
      <c r="D70" s="23">
        <f>C70*$C$17</f>
        <v>46.591999999999999</v>
      </c>
    </row>
    <row r="71" spans="1:4" ht="16.5" thickBot="1" x14ac:dyDescent="0.3">
      <c r="A71" s="21" t="s">
        <v>35</v>
      </c>
      <c r="B71" s="28" t="s">
        <v>82</v>
      </c>
      <c r="C71" s="29">
        <v>1.9439999999999999E-2</v>
      </c>
      <c r="D71" s="23">
        <f t="shared" si="1"/>
        <v>28.304639999999999</v>
      </c>
    </row>
    <row r="72" spans="1:4" ht="16.5" customHeight="1" thickBot="1" x14ac:dyDescent="0.3">
      <c r="A72" s="21" t="s">
        <v>37</v>
      </c>
      <c r="B72" s="28" t="s">
        <v>83</v>
      </c>
      <c r="C72" s="29">
        <f>C42*C71</f>
        <v>7.1539200000000002E-3</v>
      </c>
      <c r="D72" s="23">
        <f t="shared" si="1"/>
        <v>10.416107520000001</v>
      </c>
    </row>
    <row r="73" spans="1:4" ht="16.5" thickBot="1" x14ac:dyDescent="0.3">
      <c r="A73" s="21" t="s">
        <v>61</v>
      </c>
      <c r="B73" s="28" t="s">
        <v>132</v>
      </c>
      <c r="C73" s="29">
        <v>8.0000000000000002E-3</v>
      </c>
      <c r="D73" s="23">
        <f>C73*$C$17</f>
        <v>11.648</v>
      </c>
    </row>
    <row r="74" spans="1:4" ht="16.5" thickBot="1" x14ac:dyDescent="0.3">
      <c r="A74" s="135" t="s">
        <v>43</v>
      </c>
      <c r="B74" s="136"/>
      <c r="C74" s="30">
        <f>SUM(C68:C73)</f>
        <v>7.1093920000000005E-2</v>
      </c>
      <c r="D74" s="23">
        <f>SUM(D68:D73)</f>
        <v>103.51274751999999</v>
      </c>
    </row>
    <row r="77" spans="1:4" x14ac:dyDescent="0.25">
      <c r="A77" s="134" t="s">
        <v>84</v>
      </c>
      <c r="B77" s="134"/>
      <c r="C77" s="134"/>
    </row>
    <row r="80" spans="1:4" x14ac:dyDescent="0.25">
      <c r="A80" s="140" t="s">
        <v>85</v>
      </c>
      <c r="B80" s="140"/>
      <c r="C80" s="140"/>
    </row>
    <row r="81" spans="1:4" ht="16.5" thickBot="1" x14ac:dyDescent="0.3">
      <c r="A81" s="25"/>
    </row>
    <row r="82" spans="1:4" ht="16.5" thickBot="1" x14ac:dyDescent="0.3">
      <c r="A82" s="19" t="s">
        <v>86</v>
      </c>
      <c r="B82" s="20" t="s">
        <v>87</v>
      </c>
      <c r="C82" s="20" t="s">
        <v>55</v>
      </c>
      <c r="D82" s="20" t="s">
        <v>28</v>
      </c>
    </row>
    <row r="83" spans="1:4" ht="16.5" thickBot="1" x14ac:dyDescent="0.3">
      <c r="A83" s="21" t="s">
        <v>29</v>
      </c>
      <c r="B83" s="22" t="s">
        <v>88</v>
      </c>
      <c r="C83" s="29">
        <v>0.11111</v>
      </c>
      <c r="D83" s="23">
        <f>C83*$C$17</f>
        <v>161.77616</v>
      </c>
    </row>
    <row r="84" spans="1:4" ht="16.5" thickBot="1" x14ac:dyDescent="0.3">
      <c r="A84" s="21" t="s">
        <v>31</v>
      </c>
      <c r="B84" s="22" t="s">
        <v>89</v>
      </c>
      <c r="C84" s="29">
        <v>1.389E-2</v>
      </c>
      <c r="D84" s="23">
        <f t="shared" ref="D84:D88" si="2">C84*$C$17</f>
        <v>20.223839999999999</v>
      </c>
    </row>
    <row r="85" spans="1:4" ht="16.5" thickBot="1" x14ac:dyDescent="0.3">
      <c r="A85" s="21" t="s">
        <v>33</v>
      </c>
      <c r="B85" s="22" t="s">
        <v>90</v>
      </c>
      <c r="C85" s="29">
        <v>2.1000000000000001E-4</v>
      </c>
      <c r="D85" s="23">
        <f t="shared" si="2"/>
        <v>0.30576000000000003</v>
      </c>
    </row>
    <row r="86" spans="1:4" ht="16.5" thickBot="1" x14ac:dyDescent="0.3">
      <c r="A86" s="21" t="s">
        <v>35</v>
      </c>
      <c r="B86" s="22" t="s">
        <v>91</v>
      </c>
      <c r="C86" s="29">
        <v>2.7799999999999999E-3</v>
      </c>
      <c r="D86" s="23">
        <f t="shared" si="2"/>
        <v>4.0476799999999997</v>
      </c>
    </row>
    <row r="87" spans="1:4" ht="16.5" thickBot="1" x14ac:dyDescent="0.3">
      <c r="A87" s="21" t="s">
        <v>37</v>
      </c>
      <c r="B87" s="22" t="s">
        <v>92</v>
      </c>
      <c r="C87" s="29">
        <v>3.3300000000000001E-3</v>
      </c>
      <c r="D87" s="23">
        <f t="shared" si="2"/>
        <v>4.8484800000000003</v>
      </c>
    </row>
    <row r="88" spans="1:4" ht="16.5" thickBot="1" x14ac:dyDescent="0.3">
      <c r="A88" s="21" t="s">
        <v>61</v>
      </c>
      <c r="B88" s="22" t="s">
        <v>93</v>
      </c>
      <c r="C88" s="31">
        <v>0</v>
      </c>
      <c r="D88" s="23">
        <f t="shared" si="2"/>
        <v>0</v>
      </c>
    </row>
    <row r="89" spans="1:4" ht="16.5" thickBot="1" x14ac:dyDescent="0.3">
      <c r="A89" s="135" t="s">
        <v>66</v>
      </c>
      <c r="B89" s="136"/>
      <c r="C89" s="30">
        <f>SUM(C83:C88)</f>
        <v>0.13131999999999999</v>
      </c>
      <c r="D89" s="23">
        <f>SUM(D83:D88)</f>
        <v>191.20191999999997</v>
      </c>
    </row>
    <row r="92" spans="1:4" x14ac:dyDescent="0.25">
      <c r="A92" s="140" t="s">
        <v>94</v>
      </c>
      <c r="B92" s="140"/>
      <c r="C92" s="140"/>
    </row>
    <row r="93" spans="1:4" ht="16.5" thickBot="1" x14ac:dyDescent="0.3">
      <c r="A93" s="25"/>
    </row>
    <row r="94" spans="1:4" ht="16.5" thickBot="1" x14ac:dyDescent="0.3">
      <c r="A94" s="19" t="s">
        <v>95</v>
      </c>
      <c r="B94" s="20" t="s">
        <v>96</v>
      </c>
      <c r="C94" s="20" t="s">
        <v>55</v>
      </c>
      <c r="D94" s="20" t="s">
        <v>28</v>
      </c>
    </row>
    <row r="95" spans="1:4" ht="16.5" thickBot="1" x14ac:dyDescent="0.3">
      <c r="A95" s="21" t="s">
        <v>29</v>
      </c>
      <c r="B95" s="22" t="s">
        <v>97</v>
      </c>
      <c r="C95" s="31">
        <v>0</v>
      </c>
      <c r="D95" s="23">
        <f>C17*C95</f>
        <v>0</v>
      </c>
    </row>
    <row r="96" spans="1:4" ht="16.5" thickBot="1" x14ac:dyDescent="0.3">
      <c r="A96" s="135" t="s">
        <v>43</v>
      </c>
      <c r="B96" s="136"/>
      <c r="C96" s="31">
        <f>C95</f>
        <v>0</v>
      </c>
      <c r="D96" s="23">
        <f>D95</f>
        <v>0</v>
      </c>
    </row>
    <row r="99" spans="1:4" x14ac:dyDescent="0.25">
      <c r="A99" s="140" t="s">
        <v>98</v>
      </c>
      <c r="B99" s="140"/>
      <c r="C99" s="140"/>
    </row>
    <row r="100" spans="1:4" ht="16.5" thickBot="1" x14ac:dyDescent="0.3">
      <c r="A100" s="25"/>
    </row>
    <row r="101" spans="1:4" ht="16.5" thickBot="1" x14ac:dyDescent="0.3">
      <c r="A101" s="19">
        <v>4</v>
      </c>
      <c r="B101" s="20" t="s">
        <v>99</v>
      </c>
      <c r="C101" s="20" t="s">
        <v>28</v>
      </c>
    </row>
    <row r="102" spans="1:4" ht="16.5" thickBot="1" x14ac:dyDescent="0.3">
      <c r="A102" s="21" t="s">
        <v>86</v>
      </c>
      <c r="B102" s="22" t="s">
        <v>100</v>
      </c>
      <c r="C102" s="23">
        <f>D89</f>
        <v>191.20191999999997</v>
      </c>
      <c r="D102" s="42"/>
    </row>
    <row r="103" spans="1:4" ht="16.5" thickBot="1" x14ac:dyDescent="0.3">
      <c r="A103" s="21" t="s">
        <v>95</v>
      </c>
      <c r="B103" s="22" t="s">
        <v>101</v>
      </c>
      <c r="C103" s="23">
        <f>D96</f>
        <v>0</v>
      </c>
      <c r="D103" s="42"/>
    </row>
    <row r="104" spans="1:4" ht="16.5" thickBot="1" x14ac:dyDescent="0.3">
      <c r="A104" s="32" t="s">
        <v>29</v>
      </c>
      <c r="B104" s="22" t="s">
        <v>133</v>
      </c>
      <c r="C104" s="23">
        <f>(C102+C103)*C42</f>
        <v>70.362306559999993</v>
      </c>
      <c r="D104" s="42"/>
    </row>
    <row r="105" spans="1:4" ht="16.5" thickBot="1" x14ac:dyDescent="0.3">
      <c r="A105" s="135" t="s">
        <v>43</v>
      </c>
      <c r="B105" s="136"/>
      <c r="C105" s="23">
        <f>SUM(C102:C104)</f>
        <v>261.56422655999995</v>
      </c>
      <c r="D105" s="42"/>
    </row>
    <row r="108" spans="1:4" x14ac:dyDescent="0.25">
      <c r="A108" s="134" t="s">
        <v>102</v>
      </c>
      <c r="B108" s="134"/>
      <c r="C108" s="134"/>
    </row>
    <row r="109" spans="1:4" ht="16.5" thickBot="1" x14ac:dyDescent="0.3"/>
    <row r="110" spans="1:4" ht="16.5" thickBot="1" x14ac:dyDescent="0.3">
      <c r="A110" s="19">
        <v>5</v>
      </c>
      <c r="B110" s="33" t="s">
        <v>103</v>
      </c>
      <c r="C110" s="20" t="s">
        <v>28</v>
      </c>
    </row>
    <row r="111" spans="1:4" ht="16.5" thickBot="1" x14ac:dyDescent="0.3">
      <c r="A111" s="21" t="s">
        <v>29</v>
      </c>
      <c r="B111" s="22" t="s">
        <v>104</v>
      </c>
      <c r="C111" s="45">
        <v>31.97</v>
      </c>
    </row>
    <row r="112" spans="1:4" ht="16.5" thickBot="1" x14ac:dyDescent="0.3">
      <c r="A112" s="21" t="s">
        <v>31</v>
      </c>
      <c r="B112" s="22" t="s">
        <v>105</v>
      </c>
      <c r="C112" s="45">
        <v>700</v>
      </c>
    </row>
    <row r="113" spans="1:4" ht="16.5" thickBot="1" x14ac:dyDescent="0.3">
      <c r="A113" s="21" t="s">
        <v>33</v>
      </c>
      <c r="B113" s="22" t="s">
        <v>107</v>
      </c>
      <c r="C113" s="45">
        <v>687.93</v>
      </c>
    </row>
    <row r="114" spans="1:4" ht="16.5" thickBot="1" x14ac:dyDescent="0.3">
      <c r="A114" s="21" t="s">
        <v>35</v>
      </c>
      <c r="B114" s="22" t="s">
        <v>109</v>
      </c>
      <c r="C114" s="45">
        <v>0</v>
      </c>
    </row>
    <row r="115" spans="1:4" ht="16.5" thickBot="1" x14ac:dyDescent="0.3">
      <c r="A115" s="135" t="s">
        <v>66</v>
      </c>
      <c r="B115" s="136"/>
      <c r="C115" s="23">
        <f>SUM(C111:C114)</f>
        <v>1419.9</v>
      </c>
    </row>
    <row r="118" spans="1:4" x14ac:dyDescent="0.25">
      <c r="A118" s="134" t="s">
        <v>110</v>
      </c>
      <c r="B118" s="134"/>
      <c r="C118" s="134"/>
    </row>
    <row r="119" spans="1:4" ht="16.5" thickBot="1" x14ac:dyDescent="0.3"/>
    <row r="120" spans="1:4" ht="16.5" thickBot="1" x14ac:dyDescent="0.3">
      <c r="A120" s="19">
        <v>6</v>
      </c>
      <c r="B120" s="33" t="s">
        <v>111</v>
      </c>
      <c r="C120" s="20" t="s">
        <v>55</v>
      </c>
      <c r="D120" s="20" t="s">
        <v>28</v>
      </c>
    </row>
    <row r="121" spans="1:4" ht="16.5" thickBot="1" x14ac:dyDescent="0.3">
      <c r="A121" s="21" t="s">
        <v>29</v>
      </c>
      <c r="B121" s="22" t="s">
        <v>112</v>
      </c>
      <c r="C121" s="34">
        <v>0.03</v>
      </c>
      <c r="D121" s="23">
        <f>C121*C138</f>
        <v>129.78686922240001</v>
      </c>
    </row>
    <row r="122" spans="1:4" ht="16.5" thickBot="1" x14ac:dyDescent="0.3">
      <c r="A122" s="21" t="s">
        <v>31</v>
      </c>
      <c r="B122" s="22" t="s">
        <v>113</v>
      </c>
      <c r="C122" s="34">
        <v>6.7900000000000002E-2</v>
      </c>
      <c r="D122" s="23">
        <f>(D121+C138)*C122</f>
        <v>302.56347576023302</v>
      </c>
    </row>
    <row r="123" spans="1:4" ht="16.5" thickBot="1" x14ac:dyDescent="0.3">
      <c r="A123" s="21" t="s">
        <v>33</v>
      </c>
      <c r="B123" s="22" t="s">
        <v>114</v>
      </c>
      <c r="C123" s="26">
        <f>SUM(C124:C126)</f>
        <v>0.14250000000000002</v>
      </c>
      <c r="D123" s="23">
        <f>((D121+D122+C138)/(100%-C123)) - (D121+D122+C138)</f>
        <v>790.78431832819297</v>
      </c>
    </row>
    <row r="124" spans="1:4" ht="16.5" thickBot="1" x14ac:dyDescent="0.3">
      <c r="A124" s="21"/>
      <c r="B124" s="35" t="s">
        <v>115</v>
      </c>
      <c r="C124" s="43">
        <v>9.2499999999999999E-2</v>
      </c>
      <c r="D124" s="36"/>
    </row>
    <row r="125" spans="1:4" ht="16.5" thickBot="1" x14ac:dyDescent="0.3">
      <c r="A125" s="21"/>
      <c r="B125" s="35" t="s">
        <v>116</v>
      </c>
      <c r="C125" s="43">
        <v>0</v>
      </c>
      <c r="D125" s="36"/>
    </row>
    <row r="126" spans="1:4" ht="16.5" thickBot="1" x14ac:dyDescent="0.3">
      <c r="A126" s="21"/>
      <c r="B126" s="35" t="s">
        <v>117</v>
      </c>
      <c r="C126" s="37">
        <v>0.05</v>
      </c>
      <c r="D126" s="36"/>
    </row>
    <row r="127" spans="1:4" ht="16.5" thickBot="1" x14ac:dyDescent="0.3">
      <c r="A127" s="135" t="s">
        <v>66</v>
      </c>
      <c r="B127" s="136"/>
      <c r="C127" s="26"/>
      <c r="D127" s="23">
        <f>D121+D122+D123</f>
        <v>1223.134663310826</v>
      </c>
    </row>
    <row r="130" spans="1:3" x14ac:dyDescent="0.25">
      <c r="A130" s="134" t="s">
        <v>118</v>
      </c>
      <c r="B130" s="134"/>
      <c r="C130" s="134"/>
    </row>
    <row r="131" spans="1:3" ht="16.5" thickBot="1" x14ac:dyDescent="0.3"/>
    <row r="132" spans="1:3" ht="16.5" thickBot="1" x14ac:dyDescent="0.3">
      <c r="A132" s="19"/>
      <c r="B132" s="20" t="s">
        <v>119</v>
      </c>
      <c r="C132" s="20" t="s">
        <v>28</v>
      </c>
    </row>
    <row r="133" spans="1:3" ht="16.5" thickBot="1" x14ac:dyDescent="0.3">
      <c r="A133" s="38" t="s">
        <v>29</v>
      </c>
      <c r="B133" s="22" t="s">
        <v>26</v>
      </c>
      <c r="C133" s="39">
        <f>C17</f>
        <v>1456</v>
      </c>
    </row>
    <row r="134" spans="1:3" ht="16.5" thickBot="1" x14ac:dyDescent="0.3">
      <c r="A134" s="38" t="s">
        <v>31</v>
      </c>
      <c r="B134" s="22" t="s">
        <v>44</v>
      </c>
      <c r="C134" s="39">
        <f>C62</f>
        <v>1085.252</v>
      </c>
    </row>
    <row r="135" spans="1:3" ht="16.5" thickBot="1" x14ac:dyDescent="0.3">
      <c r="A135" s="38" t="s">
        <v>33</v>
      </c>
      <c r="B135" s="22" t="s">
        <v>77</v>
      </c>
      <c r="C135" s="39">
        <f>D74</f>
        <v>103.51274751999999</v>
      </c>
    </row>
    <row r="136" spans="1:3" ht="16.5" thickBot="1" x14ac:dyDescent="0.3">
      <c r="A136" s="38" t="s">
        <v>35</v>
      </c>
      <c r="B136" s="22" t="s">
        <v>84</v>
      </c>
      <c r="C136" s="40">
        <f>C105</f>
        <v>261.56422655999995</v>
      </c>
    </row>
    <row r="137" spans="1:3" ht="16.5" thickBot="1" x14ac:dyDescent="0.3">
      <c r="A137" s="38" t="s">
        <v>37</v>
      </c>
      <c r="B137" s="22" t="s">
        <v>102</v>
      </c>
      <c r="C137" s="39">
        <f>C115</f>
        <v>1419.9</v>
      </c>
    </row>
    <row r="138" spans="1:3" ht="16.5" thickBot="1" x14ac:dyDescent="0.3">
      <c r="A138" s="135" t="s">
        <v>120</v>
      </c>
      <c r="B138" s="136"/>
      <c r="C138" s="39">
        <f>SUM(C133:C137)</f>
        <v>4326.2289740800006</v>
      </c>
    </row>
    <row r="139" spans="1:3" ht="16.5" thickBot="1" x14ac:dyDescent="0.3">
      <c r="A139" s="38" t="s">
        <v>61</v>
      </c>
      <c r="B139" s="22" t="s">
        <v>121</v>
      </c>
      <c r="C139" s="39">
        <f>D127</f>
        <v>1223.134663310826</v>
      </c>
    </row>
    <row r="140" spans="1:3" ht="16.5" thickBot="1" x14ac:dyDescent="0.3">
      <c r="A140" s="135" t="s">
        <v>122</v>
      </c>
      <c r="B140" s="136"/>
      <c r="C140" s="39">
        <f>C139+C138</f>
        <v>5549.3636373908266</v>
      </c>
    </row>
  </sheetData>
  <mergeCells count="32">
    <mergeCell ref="A42:B42"/>
    <mergeCell ref="A1:D1"/>
    <mergeCell ref="A2:D2"/>
    <mergeCell ref="A3:D3"/>
    <mergeCell ref="A7:C7"/>
    <mergeCell ref="A17:B17"/>
    <mergeCell ref="A20:C20"/>
    <mergeCell ref="A22:C22"/>
    <mergeCell ref="A27:B27"/>
    <mergeCell ref="A28:B28"/>
    <mergeCell ref="A29:B29"/>
    <mergeCell ref="A31:D31"/>
    <mergeCell ref="A99:C99"/>
    <mergeCell ref="A45:C45"/>
    <mergeCell ref="A53:B53"/>
    <mergeCell ref="A56:C56"/>
    <mergeCell ref="A62:B62"/>
    <mergeCell ref="A65:C65"/>
    <mergeCell ref="A74:B74"/>
    <mergeCell ref="A77:C77"/>
    <mergeCell ref="A80:C80"/>
    <mergeCell ref="A89:B89"/>
    <mergeCell ref="A92:C92"/>
    <mergeCell ref="A96:B96"/>
    <mergeCell ref="A138:B138"/>
    <mergeCell ref="A140:B140"/>
    <mergeCell ref="A105:B105"/>
    <mergeCell ref="A108:C108"/>
    <mergeCell ref="A115:B115"/>
    <mergeCell ref="A118:C118"/>
    <mergeCell ref="A127:B127"/>
    <mergeCell ref="A130:C130"/>
  </mergeCells>
  <pageMargins left="0.511811024" right="0.511811024" top="0.78740157499999996" bottom="0.78740157499999996" header="0.31496062000000002" footer="0.31496062000000002"/>
  <pageSetup paperSize="9" scale="81" orientation="portrait" r:id="rId1"/>
  <colBreaks count="1" manualBreakCount="1">
    <brk id="4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79"/>
  <sheetViews>
    <sheetView tabSelected="1" topLeftCell="A10" workbookViewId="0">
      <selection activeCell="F86" sqref="F86"/>
    </sheetView>
  </sheetViews>
  <sheetFormatPr defaultRowHeight="15" x14ac:dyDescent="0.25"/>
  <cols>
    <col min="1" max="1" width="34.7109375" customWidth="1"/>
    <col min="2" max="2" width="20.85546875" customWidth="1"/>
    <col min="3" max="3" width="18.7109375" customWidth="1"/>
    <col min="4" max="4" width="16.42578125" bestFit="1" customWidth="1"/>
    <col min="5" max="5" width="17.42578125" customWidth="1"/>
    <col min="6" max="6" width="17.7109375" bestFit="1" customWidth="1"/>
    <col min="7" max="7" width="16.5703125" customWidth="1"/>
    <col min="8" max="8" width="12.28515625" bestFit="1" customWidth="1"/>
    <col min="9" max="9" width="14.42578125" customWidth="1"/>
    <col min="11" max="11" width="17.7109375" bestFit="1" customWidth="1"/>
    <col min="12" max="12" width="10.7109375" bestFit="1" customWidth="1"/>
    <col min="13" max="13" width="12.28515625" bestFit="1" customWidth="1"/>
    <col min="14" max="14" width="15" customWidth="1"/>
  </cols>
  <sheetData>
    <row r="1" spans="1:14" x14ac:dyDescent="0.25">
      <c r="A1" s="166" t="s">
        <v>134</v>
      </c>
      <c r="B1" s="167"/>
      <c r="C1" s="167"/>
      <c r="D1" s="167"/>
      <c r="E1" s="167"/>
      <c r="F1" s="167"/>
      <c r="G1" s="167"/>
    </row>
    <row r="2" spans="1:14" x14ac:dyDescent="0.25">
      <c r="A2" s="159" t="s">
        <v>135</v>
      </c>
      <c r="B2" s="159"/>
      <c r="C2" s="159"/>
      <c r="D2" s="159"/>
    </row>
    <row r="3" spans="1:14" x14ac:dyDescent="0.25">
      <c r="A3" s="59"/>
      <c r="B3" s="60">
        <v>-1</v>
      </c>
      <c r="C3" s="60">
        <v>-2</v>
      </c>
      <c r="D3" s="61" t="s">
        <v>136</v>
      </c>
      <c r="F3" s="159" t="s">
        <v>205</v>
      </c>
      <c r="G3" s="159"/>
      <c r="H3" s="159"/>
      <c r="I3" s="159"/>
      <c r="K3" s="159" t="s">
        <v>208</v>
      </c>
      <c r="L3" s="159"/>
      <c r="M3" s="159"/>
      <c r="N3" s="159"/>
    </row>
    <row r="4" spans="1:14" ht="30" x14ac:dyDescent="0.25">
      <c r="A4" s="62" t="s">
        <v>137</v>
      </c>
      <c r="B4" s="54" t="s">
        <v>2</v>
      </c>
      <c r="C4" s="54" t="s">
        <v>138</v>
      </c>
      <c r="D4" s="55" t="s">
        <v>139</v>
      </c>
      <c r="F4" s="59"/>
      <c r="G4" s="60">
        <v>-1</v>
      </c>
      <c r="H4" s="60">
        <v>-2</v>
      </c>
      <c r="I4" s="61" t="s">
        <v>136</v>
      </c>
      <c r="K4" s="59"/>
      <c r="L4" s="60">
        <v>-1</v>
      </c>
      <c r="M4" s="60">
        <v>-2</v>
      </c>
      <c r="N4" s="61" t="s">
        <v>136</v>
      </c>
    </row>
    <row r="5" spans="1:14" ht="45.75" thickBot="1" x14ac:dyDescent="0.3">
      <c r="A5" s="63"/>
      <c r="B5" s="64" t="s">
        <v>140</v>
      </c>
      <c r="C5" s="64" t="s">
        <v>141</v>
      </c>
      <c r="D5" s="65" t="s">
        <v>142</v>
      </c>
      <c r="F5" s="62" t="s">
        <v>137</v>
      </c>
      <c r="G5" s="54" t="s">
        <v>2</v>
      </c>
      <c r="H5" s="54" t="s">
        <v>138</v>
      </c>
      <c r="I5" s="55" t="s">
        <v>139</v>
      </c>
      <c r="K5" s="62" t="s">
        <v>137</v>
      </c>
      <c r="L5" s="54" t="s">
        <v>2</v>
      </c>
      <c r="M5" s="54" t="s">
        <v>138</v>
      </c>
      <c r="N5" s="55" t="s">
        <v>139</v>
      </c>
    </row>
    <row r="6" spans="1:14" ht="15.75" thickBot="1" x14ac:dyDescent="0.3">
      <c r="A6" s="151" t="s">
        <v>143</v>
      </c>
      <c r="B6" s="66" t="s">
        <v>144</v>
      </c>
      <c r="C6" s="153">
        <f>'ASG '!C139</f>
        <v>3837.1731558521597</v>
      </c>
      <c r="D6" s="160">
        <f>C6*(1/'Detalhamentos dos custos por M²'!B19)</f>
        <v>3.1976442965434666</v>
      </c>
      <c r="F6" s="63"/>
      <c r="G6" s="64" t="s">
        <v>140</v>
      </c>
      <c r="H6" s="64" t="s">
        <v>141</v>
      </c>
      <c r="I6" s="65" t="s">
        <v>142</v>
      </c>
      <c r="K6" s="63"/>
      <c r="L6" s="64" t="s">
        <v>140</v>
      </c>
      <c r="M6" s="64" t="s">
        <v>141</v>
      </c>
      <c r="N6" s="65" t="s">
        <v>142</v>
      </c>
    </row>
    <row r="7" spans="1:14" ht="15.75" thickBot="1" x14ac:dyDescent="0.3">
      <c r="A7" s="152"/>
      <c r="B7" s="67" t="s">
        <v>145</v>
      </c>
      <c r="C7" s="154"/>
      <c r="D7" s="161"/>
      <c r="F7" s="151" t="s">
        <v>143</v>
      </c>
      <c r="G7" s="66" t="s">
        <v>144</v>
      </c>
      <c r="H7" s="153">
        <f>'ASG '!C139</f>
        <v>3837.1731558521597</v>
      </c>
      <c r="I7" s="160">
        <f>H7*(1/'Detalhamentos dos custos por M²'!B22)</f>
        <v>1.534869262340864</v>
      </c>
      <c r="K7" s="151" t="s">
        <v>143</v>
      </c>
      <c r="L7" s="66" t="s">
        <v>144</v>
      </c>
      <c r="M7" s="153">
        <f>'ASG COM INSALUBRIDADE'!C139</f>
        <v>4997.0120256788568</v>
      </c>
      <c r="N7" s="160">
        <f>M7*(1/'Detalhamentos dos custos por M²'!B25)</f>
        <v>20.820883440328569</v>
      </c>
    </row>
    <row r="8" spans="1:14" ht="15.75" thickBot="1" x14ac:dyDescent="0.3">
      <c r="A8" s="151" t="s">
        <v>146</v>
      </c>
      <c r="B8" s="66" t="s">
        <v>144</v>
      </c>
      <c r="C8" s="153">
        <f>ENCARREGADO!C139</f>
        <v>4139.3030187478043</v>
      </c>
      <c r="D8" s="160">
        <f>C6*(1/('Detalhamentos dos custos por M²'!B19*30))</f>
        <v>0.10658814321811555</v>
      </c>
      <c r="F8" s="152"/>
      <c r="G8" s="67" t="s">
        <v>145</v>
      </c>
      <c r="H8" s="154"/>
      <c r="I8" s="161"/>
      <c r="K8" s="152"/>
      <c r="L8" s="67" t="s">
        <v>145</v>
      </c>
      <c r="M8" s="154"/>
      <c r="N8" s="161"/>
    </row>
    <row r="9" spans="1:14" ht="15.75" thickBot="1" x14ac:dyDescent="0.3">
      <c r="A9" s="152"/>
      <c r="B9" s="67" t="s">
        <v>147</v>
      </c>
      <c r="C9" s="154"/>
      <c r="D9" s="161"/>
      <c r="F9" s="151" t="s">
        <v>146</v>
      </c>
      <c r="G9" s="66" t="s">
        <v>144</v>
      </c>
      <c r="H9" s="153">
        <f>ENCARREGADO!C139</f>
        <v>4139.3030187478043</v>
      </c>
      <c r="I9" s="160">
        <f>H7*(1/('Detalhamentos dos custos por M²'!B22*30))</f>
        <v>5.1162308744695462E-2</v>
      </c>
      <c r="K9" s="151" t="s">
        <v>146</v>
      </c>
      <c r="L9" s="66" t="s">
        <v>144</v>
      </c>
      <c r="M9" s="153">
        <f>ENCARREGADO!C139</f>
        <v>4139.3030187478043</v>
      </c>
      <c r="N9" s="160">
        <f>M7*(1/('Detalhamentos dos custos por M²'!B25*30))</f>
        <v>0.69402944801095234</v>
      </c>
    </row>
    <row r="10" spans="1:14" ht="15.75" thickBot="1" x14ac:dyDescent="0.3">
      <c r="A10" s="147" t="s">
        <v>148</v>
      </c>
      <c r="B10" s="148"/>
      <c r="C10" s="149"/>
      <c r="D10" s="83">
        <f>SUM(D6:D9)</f>
        <v>3.3042324397615821</v>
      </c>
      <c r="F10" s="152"/>
      <c r="G10" s="67" t="s">
        <v>147</v>
      </c>
      <c r="H10" s="154"/>
      <c r="I10" s="161"/>
      <c r="K10" s="152"/>
      <c r="L10" s="67" t="s">
        <v>147</v>
      </c>
      <c r="M10" s="154"/>
      <c r="N10" s="161"/>
    </row>
    <row r="11" spans="1:14" x14ac:dyDescent="0.25">
      <c r="A11" s="150" t="s">
        <v>149</v>
      </c>
      <c r="B11" s="150"/>
      <c r="C11" s="150"/>
      <c r="D11" s="150"/>
      <c r="F11" s="147" t="s">
        <v>148</v>
      </c>
      <c r="G11" s="148"/>
      <c r="H11" s="149"/>
      <c r="I11" s="83">
        <f>SUM(I7:I10)</f>
        <v>1.5860315710855595</v>
      </c>
      <c r="K11" s="147" t="s">
        <v>148</v>
      </c>
      <c r="L11" s="148"/>
      <c r="M11" s="149"/>
      <c r="N11" s="83">
        <f>SUM(N7:N10)</f>
        <v>21.51491288833952</v>
      </c>
    </row>
    <row r="12" spans="1:14" x14ac:dyDescent="0.25">
      <c r="A12" s="80"/>
      <c r="B12" s="80"/>
      <c r="C12" s="80"/>
      <c r="D12" s="80"/>
      <c r="F12" s="150" t="s">
        <v>149</v>
      </c>
      <c r="G12" s="150"/>
      <c r="H12" s="150"/>
      <c r="I12" s="150"/>
      <c r="K12" s="150" t="s">
        <v>149</v>
      </c>
      <c r="L12" s="150"/>
      <c r="M12" s="150"/>
      <c r="N12" s="150"/>
    </row>
    <row r="13" spans="1:14" x14ac:dyDescent="0.25">
      <c r="A13" s="159" t="s">
        <v>150</v>
      </c>
      <c r="B13" s="159"/>
      <c r="C13" s="159"/>
      <c r="D13" s="159"/>
    </row>
    <row r="14" spans="1:14" x14ac:dyDescent="0.25">
      <c r="A14" s="59"/>
      <c r="B14" s="60">
        <v>-1</v>
      </c>
      <c r="C14" s="60">
        <v>-2</v>
      </c>
      <c r="D14" s="61" t="s">
        <v>136</v>
      </c>
    </row>
    <row r="15" spans="1:14" ht="30" x14ac:dyDescent="0.25">
      <c r="A15" s="62" t="s">
        <v>137</v>
      </c>
      <c r="B15" s="54" t="s">
        <v>2</v>
      </c>
      <c r="C15" s="54" t="s">
        <v>138</v>
      </c>
      <c r="D15" s="55" t="s">
        <v>139</v>
      </c>
      <c r="F15" s="159" t="s">
        <v>206</v>
      </c>
      <c r="G15" s="159"/>
      <c r="H15" s="159"/>
      <c r="I15" s="159"/>
    </row>
    <row r="16" spans="1:14" ht="15.75" thickBot="1" x14ac:dyDescent="0.3">
      <c r="A16" s="63"/>
      <c r="B16" s="64" t="s">
        <v>140</v>
      </c>
      <c r="C16" s="64" t="s">
        <v>141</v>
      </c>
      <c r="D16" s="65" t="s">
        <v>142</v>
      </c>
      <c r="F16" s="59"/>
      <c r="G16" s="60">
        <v>-1</v>
      </c>
      <c r="H16" s="60">
        <v>-2</v>
      </c>
      <c r="I16" s="61" t="s">
        <v>136</v>
      </c>
      <c r="K16" s="159" t="s">
        <v>211</v>
      </c>
      <c r="L16" s="159"/>
      <c r="M16" s="159"/>
      <c r="N16" s="159"/>
    </row>
    <row r="17" spans="1:14" ht="45" x14ac:dyDescent="0.25">
      <c r="A17" s="151" t="s">
        <v>143</v>
      </c>
      <c r="B17" s="66" t="s">
        <v>144</v>
      </c>
      <c r="C17" s="153">
        <f>'ASG '!C139</f>
        <v>3837.1731558521597</v>
      </c>
      <c r="D17" s="160">
        <f>C17*(1/'Detalhamentos dos custos por M²'!B20)</f>
        <v>3.1976442965434666</v>
      </c>
      <c r="F17" s="62" t="s">
        <v>137</v>
      </c>
      <c r="G17" s="54" t="s">
        <v>2</v>
      </c>
      <c r="H17" s="54" t="s">
        <v>138</v>
      </c>
      <c r="I17" s="55" t="s">
        <v>139</v>
      </c>
      <c r="K17" s="59"/>
      <c r="L17" s="60">
        <v>-1</v>
      </c>
      <c r="M17" s="60">
        <v>-2</v>
      </c>
      <c r="N17" s="61" t="s">
        <v>136</v>
      </c>
    </row>
    <row r="18" spans="1:14" ht="45.75" thickBot="1" x14ac:dyDescent="0.3">
      <c r="A18" s="152"/>
      <c r="B18" s="67" t="s">
        <v>145</v>
      </c>
      <c r="C18" s="154"/>
      <c r="D18" s="161"/>
      <c r="F18" s="63"/>
      <c r="G18" s="64" t="s">
        <v>140</v>
      </c>
      <c r="H18" s="64" t="s">
        <v>141</v>
      </c>
      <c r="I18" s="65" t="s">
        <v>142</v>
      </c>
      <c r="K18" s="62" t="s">
        <v>137</v>
      </c>
      <c r="L18" s="54" t="s">
        <v>2</v>
      </c>
      <c r="M18" s="54" t="s">
        <v>138</v>
      </c>
      <c r="N18" s="55" t="s">
        <v>139</v>
      </c>
    </row>
    <row r="19" spans="1:14" ht="15.75" thickBot="1" x14ac:dyDescent="0.3">
      <c r="A19" s="151" t="s">
        <v>146</v>
      </c>
      <c r="B19" s="66" t="s">
        <v>144</v>
      </c>
      <c r="C19" s="153">
        <f>ENCARREGADO!C139</f>
        <v>4139.3030187478043</v>
      </c>
      <c r="D19" s="160">
        <f>C17*(1/('Detalhamentos dos custos por M²'!B20*30))</f>
        <v>0.10658814321811555</v>
      </c>
      <c r="F19" s="151" t="s">
        <v>143</v>
      </c>
      <c r="G19" s="66" t="s">
        <v>144</v>
      </c>
      <c r="H19" s="153">
        <f>'ASG '!C139</f>
        <v>3837.1731558521597</v>
      </c>
      <c r="I19" s="160">
        <f>H19*(1/'Detalhamentos dos custos por M²'!B23)</f>
        <v>2.1317628643623108</v>
      </c>
      <c r="K19" s="63"/>
      <c r="L19" s="64" t="s">
        <v>140</v>
      </c>
      <c r="M19" s="64" t="s">
        <v>141</v>
      </c>
      <c r="N19" s="65" t="s">
        <v>142</v>
      </c>
    </row>
    <row r="20" spans="1:14" ht="15.75" thickBot="1" x14ac:dyDescent="0.3">
      <c r="A20" s="152"/>
      <c r="B20" s="67" t="s">
        <v>147</v>
      </c>
      <c r="C20" s="154"/>
      <c r="D20" s="161"/>
      <c r="F20" s="152"/>
      <c r="G20" s="67" t="s">
        <v>145</v>
      </c>
      <c r="H20" s="154"/>
      <c r="I20" s="161"/>
      <c r="K20" s="151" t="s">
        <v>143</v>
      </c>
      <c r="L20" s="66" t="s">
        <v>144</v>
      </c>
      <c r="M20" s="153">
        <f>'ASG COM INSALUBRIDADE'!C139</f>
        <v>4997.0120256788568</v>
      </c>
      <c r="N20" s="160">
        <f>M20*(1/'Detalhamentos dos custos por M²'!B31)</f>
        <v>12.812851347894505</v>
      </c>
    </row>
    <row r="21" spans="1:14" ht="15.75" thickBot="1" x14ac:dyDescent="0.3">
      <c r="A21" s="147" t="s">
        <v>148</v>
      </c>
      <c r="B21" s="148"/>
      <c r="C21" s="149"/>
      <c r="D21" s="83">
        <f>SUM(D17:D20)</f>
        <v>3.3042324397615821</v>
      </c>
      <c r="F21" s="151" t="s">
        <v>146</v>
      </c>
      <c r="G21" s="66" t="s">
        <v>144</v>
      </c>
      <c r="H21" s="153">
        <f>ENCARREGADO!C139</f>
        <v>4139.3030187478043</v>
      </c>
      <c r="I21" s="160">
        <f>H19*(1/('Detalhamentos dos custos por M²'!B23*30))</f>
        <v>7.1058762145410362E-2</v>
      </c>
      <c r="K21" s="152"/>
      <c r="L21" s="67" t="s">
        <v>145</v>
      </c>
      <c r="M21" s="154"/>
      <c r="N21" s="161"/>
    </row>
    <row r="22" spans="1:14" ht="15.75" thickBot="1" x14ac:dyDescent="0.3">
      <c r="A22" s="150" t="s">
        <v>149</v>
      </c>
      <c r="B22" s="150"/>
      <c r="C22" s="150"/>
      <c r="D22" s="150"/>
      <c r="F22" s="152"/>
      <c r="G22" s="67" t="s">
        <v>147</v>
      </c>
      <c r="H22" s="154"/>
      <c r="I22" s="161"/>
      <c r="K22" s="151" t="s">
        <v>146</v>
      </c>
      <c r="L22" s="66" t="s">
        <v>144</v>
      </c>
      <c r="M22" s="153">
        <f>ENCARREGADO!C139</f>
        <v>4139.3030187478043</v>
      </c>
      <c r="N22" s="160">
        <f>M20*(1/('Detalhamentos dos custos por M²'!B31*30))</f>
        <v>0.42709504492981681</v>
      </c>
    </row>
    <row r="23" spans="1:14" ht="15.75" thickBot="1" x14ac:dyDescent="0.3">
      <c r="A23" s="80"/>
      <c r="B23" s="80"/>
      <c r="C23" s="80"/>
      <c r="D23" s="80"/>
      <c r="F23" s="147" t="s">
        <v>148</v>
      </c>
      <c r="G23" s="148"/>
      <c r="H23" s="149"/>
      <c r="I23" s="83">
        <f>SUM(I19:I22)</f>
        <v>2.202821626507721</v>
      </c>
      <c r="K23" s="152"/>
      <c r="L23" s="67" t="s">
        <v>147</v>
      </c>
      <c r="M23" s="154"/>
      <c r="N23" s="161"/>
    </row>
    <row r="24" spans="1:14" x14ac:dyDescent="0.25">
      <c r="A24" s="159" t="s">
        <v>151</v>
      </c>
      <c r="B24" s="159"/>
      <c r="C24" s="159"/>
      <c r="D24" s="159"/>
      <c r="F24" s="150" t="s">
        <v>149</v>
      </c>
      <c r="G24" s="150"/>
      <c r="H24" s="150"/>
      <c r="I24" s="150"/>
      <c r="K24" s="147" t="s">
        <v>148</v>
      </c>
      <c r="L24" s="148"/>
      <c r="M24" s="149"/>
      <c r="N24" s="83">
        <f>SUM(N20:N23)</f>
        <v>13.239946392824322</v>
      </c>
    </row>
    <row r="25" spans="1:14" x14ac:dyDescent="0.25">
      <c r="A25" s="59"/>
      <c r="B25" s="60">
        <v>-1</v>
      </c>
      <c r="C25" s="60">
        <v>-2</v>
      </c>
      <c r="D25" s="61" t="s">
        <v>136</v>
      </c>
      <c r="K25" s="150" t="s">
        <v>149</v>
      </c>
      <c r="L25" s="150"/>
      <c r="M25" s="150"/>
      <c r="N25" s="150"/>
    </row>
    <row r="26" spans="1:14" ht="30" x14ac:dyDescent="0.25">
      <c r="A26" s="62" t="s">
        <v>137</v>
      </c>
      <c r="B26" s="54" t="s">
        <v>2</v>
      </c>
      <c r="C26" s="54" t="s">
        <v>138</v>
      </c>
      <c r="D26" s="55" t="s">
        <v>139</v>
      </c>
      <c r="F26" s="159" t="s">
        <v>207</v>
      </c>
      <c r="G26" s="159"/>
      <c r="H26" s="159"/>
      <c r="I26" s="159"/>
    </row>
    <row r="27" spans="1:14" ht="15.75" thickBot="1" x14ac:dyDescent="0.3">
      <c r="A27" s="63"/>
      <c r="B27" s="64" t="s">
        <v>140</v>
      </c>
      <c r="C27" s="64" t="s">
        <v>141</v>
      </c>
      <c r="D27" s="65" t="s">
        <v>142</v>
      </c>
      <c r="F27" s="59"/>
      <c r="G27" s="60">
        <v>-1</v>
      </c>
      <c r="H27" s="60">
        <v>-2</v>
      </c>
      <c r="I27" s="61" t="s">
        <v>136</v>
      </c>
    </row>
    <row r="28" spans="1:14" ht="45" x14ac:dyDescent="0.25">
      <c r="A28" s="151" t="s">
        <v>143</v>
      </c>
      <c r="B28" s="66" t="s">
        <v>144</v>
      </c>
      <c r="C28" s="153">
        <f>'ASG '!C139</f>
        <v>3837.1731558521597</v>
      </c>
      <c r="D28" s="160">
        <f>C28*(1/'Detalhamentos dos custos por M²'!B21)</f>
        <v>8.5270514574492431</v>
      </c>
      <c r="F28" s="62" t="s">
        <v>137</v>
      </c>
      <c r="G28" s="54" t="s">
        <v>2</v>
      </c>
      <c r="H28" s="54" t="s">
        <v>138</v>
      </c>
      <c r="I28" s="55" t="s">
        <v>139</v>
      </c>
    </row>
    <row r="29" spans="1:14" ht="15.75" thickBot="1" x14ac:dyDescent="0.3">
      <c r="A29" s="152"/>
      <c r="B29" s="67" t="s">
        <v>145</v>
      </c>
      <c r="C29" s="154"/>
      <c r="D29" s="161"/>
      <c r="F29" s="63"/>
      <c r="G29" s="64" t="s">
        <v>140</v>
      </c>
      <c r="H29" s="64" t="s">
        <v>141</v>
      </c>
      <c r="I29" s="65" t="s">
        <v>142</v>
      </c>
    </row>
    <row r="30" spans="1:14" x14ac:dyDescent="0.25">
      <c r="A30" s="151" t="s">
        <v>146</v>
      </c>
      <c r="B30" s="66" t="s">
        <v>144</v>
      </c>
      <c r="C30" s="153">
        <f>ENCARREGADO!C139</f>
        <v>4139.3030187478043</v>
      </c>
      <c r="D30" s="160">
        <f>C28*(1/('Detalhamentos dos custos por M²'!B21*30))</f>
        <v>0.28423504858164145</v>
      </c>
      <c r="F30" s="151" t="s">
        <v>143</v>
      </c>
      <c r="G30" s="66" t="s">
        <v>144</v>
      </c>
      <c r="H30" s="153">
        <f>'ASG '!C139</f>
        <v>3837.1731558521597</v>
      </c>
      <c r="I30" s="160">
        <f>H30*(1/'Detalhamentos dos custos por M²'!B24)</f>
        <v>2.5581154372347732</v>
      </c>
    </row>
    <row r="31" spans="1:14" ht="15.75" thickBot="1" x14ac:dyDescent="0.3">
      <c r="A31" s="152"/>
      <c r="B31" s="67" t="s">
        <v>147</v>
      </c>
      <c r="C31" s="154"/>
      <c r="D31" s="161"/>
      <c r="F31" s="152"/>
      <c r="G31" s="67" t="s">
        <v>145</v>
      </c>
      <c r="H31" s="154"/>
      <c r="I31" s="161"/>
    </row>
    <row r="32" spans="1:14" x14ac:dyDescent="0.25">
      <c r="A32" s="147" t="s">
        <v>148</v>
      </c>
      <c r="B32" s="148"/>
      <c r="C32" s="149"/>
      <c r="D32" s="83">
        <f>SUM(D28:D31)</f>
        <v>8.8112865060308838</v>
      </c>
      <c r="F32" s="151" t="s">
        <v>146</v>
      </c>
      <c r="G32" s="66" t="s">
        <v>144</v>
      </c>
      <c r="H32" s="153">
        <f>ENCARREGADO!C139</f>
        <v>4139.3030187478043</v>
      </c>
      <c r="I32" s="160">
        <f>H30*(1/('Detalhamentos dos custos por M²'!B24*30))</f>
        <v>8.5270514574492445E-2</v>
      </c>
    </row>
    <row r="33" spans="1:14" ht="15.75" thickBot="1" x14ac:dyDescent="0.3">
      <c r="A33" s="150" t="s">
        <v>149</v>
      </c>
      <c r="B33" s="150"/>
      <c r="C33" s="150"/>
      <c r="D33" s="150"/>
      <c r="F33" s="152"/>
      <c r="G33" s="67" t="s">
        <v>147</v>
      </c>
      <c r="H33" s="154"/>
      <c r="I33" s="161"/>
    </row>
    <row r="34" spans="1:14" x14ac:dyDescent="0.25">
      <c r="A34" s="80"/>
      <c r="B34" s="80"/>
      <c r="C34" s="80"/>
      <c r="D34" s="80"/>
      <c r="F34" s="147" t="s">
        <v>148</v>
      </c>
      <c r="G34" s="148"/>
      <c r="H34" s="149"/>
      <c r="I34" s="83">
        <f>SUM(I30:I33)</f>
        <v>2.6433859518092655</v>
      </c>
    </row>
    <row r="35" spans="1:14" x14ac:dyDescent="0.25">
      <c r="A35" s="80"/>
      <c r="B35" s="80"/>
      <c r="C35" s="80"/>
      <c r="D35" s="80"/>
      <c r="F35" s="150" t="s">
        <v>149</v>
      </c>
      <c r="G35" s="150"/>
      <c r="H35" s="150"/>
      <c r="I35" s="150"/>
    </row>
    <row r="36" spans="1:14" x14ac:dyDescent="0.25">
      <c r="A36" s="85" t="s">
        <v>152</v>
      </c>
      <c r="B36" s="85"/>
      <c r="C36" s="85"/>
      <c r="D36" s="85"/>
    </row>
    <row r="37" spans="1:14" x14ac:dyDescent="0.25">
      <c r="A37" s="59"/>
      <c r="B37" s="60">
        <v>-1</v>
      </c>
      <c r="C37" s="60">
        <v>-2</v>
      </c>
      <c r="D37" s="61" t="s">
        <v>136</v>
      </c>
      <c r="F37" s="85" t="s">
        <v>209</v>
      </c>
      <c r="G37" s="85"/>
      <c r="H37" s="85"/>
      <c r="I37" s="85"/>
      <c r="K37" s="85" t="s">
        <v>210</v>
      </c>
      <c r="L37" s="85"/>
      <c r="M37" s="85"/>
      <c r="N37" s="85"/>
    </row>
    <row r="38" spans="1:14" ht="30" x14ac:dyDescent="0.25">
      <c r="A38" s="62" t="s">
        <v>153</v>
      </c>
      <c r="B38" s="54" t="s">
        <v>2</v>
      </c>
      <c r="C38" s="54" t="s">
        <v>138</v>
      </c>
      <c r="D38" s="55" t="s">
        <v>139</v>
      </c>
      <c r="F38" s="59"/>
      <c r="G38" s="60">
        <v>-1</v>
      </c>
      <c r="H38" s="60">
        <v>-2</v>
      </c>
      <c r="I38" s="61" t="s">
        <v>136</v>
      </c>
      <c r="K38" s="59"/>
      <c r="L38" s="60">
        <v>-1</v>
      </c>
      <c r="M38" s="60">
        <v>-2</v>
      </c>
      <c r="N38" s="61" t="s">
        <v>136</v>
      </c>
    </row>
    <row r="39" spans="1:14" ht="45.75" thickBot="1" x14ac:dyDescent="0.3">
      <c r="A39" s="63"/>
      <c r="B39" s="64" t="s">
        <v>140</v>
      </c>
      <c r="C39" s="64" t="s">
        <v>141</v>
      </c>
      <c r="D39" s="65" t="s">
        <v>142</v>
      </c>
      <c r="F39" s="62" t="s">
        <v>153</v>
      </c>
      <c r="G39" s="54" t="s">
        <v>2</v>
      </c>
      <c r="H39" s="54" t="s">
        <v>138</v>
      </c>
      <c r="I39" s="55" t="s">
        <v>139</v>
      </c>
      <c r="K39" s="62" t="s">
        <v>153</v>
      </c>
      <c r="L39" s="54" t="s">
        <v>2</v>
      </c>
      <c r="M39" s="54" t="s">
        <v>138</v>
      </c>
      <c r="N39" s="55" t="s">
        <v>139</v>
      </c>
    </row>
    <row r="40" spans="1:14" ht="15.75" thickBot="1" x14ac:dyDescent="0.3">
      <c r="A40" s="151" t="s">
        <v>143</v>
      </c>
      <c r="B40" s="66" t="s">
        <v>144</v>
      </c>
      <c r="C40" s="155">
        <f>'ASG '!C139</f>
        <v>3837.1731558521597</v>
      </c>
      <c r="D40" s="157">
        <f>(1/'Detalhamentos dos custos por M²'!B26)*C40</f>
        <v>1.4211752429082072</v>
      </c>
      <c r="F40" s="63"/>
      <c r="G40" s="64" t="s">
        <v>140</v>
      </c>
      <c r="H40" s="64" t="s">
        <v>141</v>
      </c>
      <c r="I40" s="65" t="s">
        <v>142</v>
      </c>
      <c r="K40" s="63"/>
      <c r="L40" s="64" t="s">
        <v>140</v>
      </c>
      <c r="M40" s="64" t="s">
        <v>141</v>
      </c>
      <c r="N40" s="65" t="s">
        <v>142</v>
      </c>
    </row>
    <row r="41" spans="1:14" ht="15.75" thickBot="1" x14ac:dyDescent="0.3">
      <c r="A41" s="152"/>
      <c r="B41" s="67" t="s">
        <v>145</v>
      </c>
      <c r="C41" s="156"/>
      <c r="D41" s="158"/>
      <c r="F41" s="151" t="s">
        <v>143</v>
      </c>
      <c r="G41" s="66" t="s">
        <v>144</v>
      </c>
      <c r="H41" s="155">
        <f>'ASG '!C139</f>
        <v>3837.1731558521597</v>
      </c>
      <c r="I41" s="157">
        <f>(1/'Detalhamentos dos custos por M²'!B27)*H41</f>
        <v>0.4263525728724622</v>
      </c>
      <c r="K41" s="151" t="s">
        <v>143</v>
      </c>
      <c r="L41" s="66" t="s">
        <v>144</v>
      </c>
      <c r="M41" s="155">
        <f>'ASG '!C139</f>
        <v>3837.1731558521597</v>
      </c>
      <c r="N41" s="157">
        <f>(1/'Detalhamentos dos custos por M²'!B28)*M41</f>
        <v>1.4211752429082072</v>
      </c>
    </row>
    <row r="42" spans="1:14" ht="15.75" thickBot="1" x14ac:dyDescent="0.3">
      <c r="A42" s="151" t="s">
        <v>146</v>
      </c>
      <c r="B42" s="66" t="s">
        <v>144</v>
      </c>
      <c r="C42" s="155">
        <f>ENCARREGADO!C139</f>
        <v>4139.3030187478043</v>
      </c>
      <c r="D42" s="157">
        <f>(1/('Detalhamentos dos custos por M²'!B26*30))*C40</f>
        <v>4.7372508096940241E-2</v>
      </c>
      <c r="F42" s="152"/>
      <c r="G42" s="67" t="s">
        <v>145</v>
      </c>
      <c r="H42" s="156"/>
      <c r="I42" s="158"/>
      <c r="K42" s="152"/>
      <c r="L42" s="67" t="s">
        <v>145</v>
      </c>
      <c r="M42" s="156"/>
      <c r="N42" s="158"/>
    </row>
    <row r="43" spans="1:14" ht="15.75" thickBot="1" x14ac:dyDescent="0.3">
      <c r="A43" s="152"/>
      <c r="B43" s="67" t="s">
        <v>147</v>
      </c>
      <c r="C43" s="156"/>
      <c r="D43" s="158"/>
      <c r="F43" s="151" t="s">
        <v>146</v>
      </c>
      <c r="G43" s="66" t="s">
        <v>144</v>
      </c>
      <c r="H43" s="155">
        <f>ENCARREGADO!C139</f>
        <v>4139.3030187478043</v>
      </c>
      <c r="I43" s="157">
        <f>(1/('Detalhamentos dos custos por M²'!B27*30))*H41</f>
        <v>1.4211752429082073E-2</v>
      </c>
      <c r="K43" s="151" t="s">
        <v>146</v>
      </c>
      <c r="L43" s="66" t="s">
        <v>144</v>
      </c>
      <c r="M43" s="155">
        <f>ENCARREGADO!C139</f>
        <v>4139.3030187478043</v>
      </c>
      <c r="N43" s="157">
        <f>(1/('Detalhamentos dos custos por M²'!B28*30))*M41</f>
        <v>4.7372508096940241E-2</v>
      </c>
    </row>
    <row r="44" spans="1:14" ht="15.75" thickBot="1" x14ac:dyDescent="0.3">
      <c r="A44" s="147" t="s">
        <v>148</v>
      </c>
      <c r="B44" s="148"/>
      <c r="C44" s="149"/>
      <c r="D44" s="84">
        <f>SUM(D40:D43)</f>
        <v>1.4685477510051475</v>
      </c>
      <c r="F44" s="152"/>
      <c r="G44" s="67" t="s">
        <v>147</v>
      </c>
      <c r="H44" s="156"/>
      <c r="I44" s="158"/>
      <c r="K44" s="152"/>
      <c r="L44" s="67" t="s">
        <v>147</v>
      </c>
      <c r="M44" s="156"/>
      <c r="N44" s="158"/>
    </row>
    <row r="45" spans="1:14" x14ac:dyDescent="0.25">
      <c r="A45" s="150" t="s">
        <v>149</v>
      </c>
      <c r="B45" s="150"/>
      <c r="C45" s="150"/>
      <c r="D45" s="150"/>
      <c r="F45" s="147" t="s">
        <v>148</v>
      </c>
      <c r="G45" s="148"/>
      <c r="H45" s="149"/>
      <c r="I45" s="84">
        <f>SUM(I41:I44)</f>
        <v>0.44056432530154427</v>
      </c>
      <c r="K45" s="147" t="s">
        <v>148</v>
      </c>
      <c r="L45" s="148"/>
      <c r="M45" s="149"/>
      <c r="N45" s="84">
        <f>SUM(N41:N44)</f>
        <v>1.4685477510051475</v>
      </c>
    </row>
    <row r="46" spans="1:14" x14ac:dyDescent="0.25">
      <c r="A46" s="80"/>
      <c r="B46" s="80"/>
      <c r="C46" s="80"/>
      <c r="D46" s="80"/>
      <c r="F46" s="150" t="s">
        <v>149</v>
      </c>
      <c r="G46" s="150"/>
      <c r="H46" s="150"/>
      <c r="I46" s="150"/>
      <c r="K46" s="150" t="s">
        <v>149</v>
      </c>
      <c r="L46" s="150"/>
      <c r="M46" s="150"/>
      <c r="N46" s="150"/>
    </row>
    <row r="47" spans="1:14" x14ac:dyDescent="0.25">
      <c r="A47" s="159" t="s">
        <v>154</v>
      </c>
      <c r="B47" s="159"/>
      <c r="C47" s="159"/>
      <c r="D47" s="159"/>
      <c r="E47" s="159"/>
      <c r="F47" s="159"/>
      <c r="G47" s="159"/>
    </row>
    <row r="48" spans="1:14" x14ac:dyDescent="0.25">
      <c r="A48" s="59"/>
      <c r="B48" s="60">
        <v>-1</v>
      </c>
      <c r="C48" s="60">
        <v>-2</v>
      </c>
      <c r="D48" s="60">
        <v>-3</v>
      </c>
      <c r="E48" s="60">
        <v>-4</v>
      </c>
      <c r="F48" s="60">
        <v>-5</v>
      </c>
      <c r="G48" s="61" t="s">
        <v>155</v>
      </c>
    </row>
    <row r="49" spans="1:9" ht="60" x14ac:dyDescent="0.25">
      <c r="A49" s="62" t="s">
        <v>137</v>
      </c>
      <c r="B49" s="54" t="s">
        <v>2</v>
      </c>
      <c r="C49" s="54" t="s">
        <v>156</v>
      </c>
      <c r="D49" s="54" t="s">
        <v>157</v>
      </c>
      <c r="E49" s="54" t="s">
        <v>158</v>
      </c>
      <c r="F49" s="54" t="s">
        <v>138</v>
      </c>
      <c r="G49" s="55" t="s">
        <v>159</v>
      </c>
    </row>
    <row r="50" spans="1:9" ht="15.75" thickBot="1" x14ac:dyDescent="0.3">
      <c r="A50" s="63"/>
      <c r="B50" s="56" t="s">
        <v>140</v>
      </c>
      <c r="C50" s="58"/>
      <c r="D50" s="58"/>
      <c r="E50" s="56" t="s">
        <v>160</v>
      </c>
      <c r="F50" s="56" t="s">
        <v>141</v>
      </c>
      <c r="G50" s="57" t="s">
        <v>142</v>
      </c>
    </row>
    <row r="51" spans="1:9" x14ac:dyDescent="0.25">
      <c r="A51" s="151" t="s">
        <v>143</v>
      </c>
      <c r="B51" s="66" t="s">
        <v>161</v>
      </c>
      <c r="C51" s="151" t="s">
        <v>162</v>
      </c>
      <c r="D51" s="66" t="s">
        <v>144</v>
      </c>
      <c r="E51" s="151">
        <f>(1/'Detalhamentos dos custos por M²'!B29)*16*(1/188.76)</f>
        <v>2.2306242401936183E-4</v>
      </c>
      <c r="F51" s="153">
        <f>'ASG '!C139</f>
        <v>3837.1731558521597</v>
      </c>
      <c r="G51" s="168">
        <f>F51*E51</f>
        <v>0.8559291455264072</v>
      </c>
    </row>
    <row r="52" spans="1:9" ht="15.75" thickBot="1" x14ac:dyDescent="0.3">
      <c r="A52" s="152"/>
      <c r="B52" s="67" t="s">
        <v>145</v>
      </c>
      <c r="C52" s="152"/>
      <c r="D52" s="67">
        <v>188.76</v>
      </c>
      <c r="E52" s="152"/>
      <c r="F52" s="154"/>
      <c r="G52" s="169"/>
    </row>
    <row r="53" spans="1:9" x14ac:dyDescent="0.25">
      <c r="A53" s="151" t="s">
        <v>146</v>
      </c>
      <c r="B53" s="66" t="s">
        <v>161</v>
      </c>
      <c r="C53" s="151" t="s">
        <v>162</v>
      </c>
      <c r="D53" s="66" t="s">
        <v>144</v>
      </c>
      <c r="E53" s="170">
        <f>(1/('Detalhamentos dos custos por M²'!B29*30))*16*(1/188.76)</f>
        <v>7.4354141339787274E-6</v>
      </c>
      <c r="F53" s="153">
        <f>ENCARREGADO!C139</f>
        <v>4139.3030187478043</v>
      </c>
      <c r="G53" s="168">
        <f>F53*E53</f>
        <v>3.0777432170418239E-2</v>
      </c>
    </row>
    <row r="54" spans="1:9" ht="15.75" thickBot="1" x14ac:dyDescent="0.3">
      <c r="A54" s="152"/>
      <c r="B54" s="67" t="s">
        <v>147</v>
      </c>
      <c r="C54" s="152"/>
      <c r="D54" s="67">
        <v>188.76</v>
      </c>
      <c r="E54" s="171"/>
      <c r="F54" s="154"/>
      <c r="G54" s="169"/>
    </row>
    <row r="55" spans="1:9" x14ac:dyDescent="0.25">
      <c r="A55" s="147" t="s">
        <v>148</v>
      </c>
      <c r="B55" s="148"/>
      <c r="C55" s="148"/>
      <c r="D55" s="148"/>
      <c r="E55" s="148"/>
      <c r="F55" s="149"/>
      <c r="G55" s="84">
        <f>SUM(G51:G54)</f>
        <v>0.88670657769682548</v>
      </c>
    </row>
    <row r="56" spans="1:9" x14ac:dyDescent="0.25">
      <c r="A56" s="150" t="s">
        <v>149</v>
      </c>
      <c r="B56" s="150"/>
      <c r="C56" s="150"/>
      <c r="D56" s="150"/>
      <c r="E56" s="150"/>
      <c r="F56" s="150"/>
      <c r="G56" s="150"/>
    </row>
    <row r="57" spans="1:9" x14ac:dyDescent="0.25">
      <c r="A57" s="166" t="s">
        <v>163</v>
      </c>
      <c r="B57" s="166"/>
      <c r="C57" s="166"/>
      <c r="D57" s="166"/>
    </row>
    <row r="58" spans="1:9" x14ac:dyDescent="0.25">
      <c r="A58" s="68"/>
    </row>
    <row r="59" spans="1:9" ht="30" x14ac:dyDescent="0.25">
      <c r="A59" s="162" t="s">
        <v>164</v>
      </c>
      <c r="B59" s="86" t="s">
        <v>165</v>
      </c>
      <c r="C59" s="89" t="s">
        <v>1</v>
      </c>
      <c r="D59" s="92" t="s">
        <v>139</v>
      </c>
      <c r="E59" s="164"/>
      <c r="F59" s="165"/>
    </row>
    <row r="60" spans="1:9" ht="15.75" thickBot="1" x14ac:dyDescent="0.3">
      <c r="A60" s="163"/>
      <c r="B60" s="87" t="s">
        <v>166</v>
      </c>
      <c r="C60" s="90" t="s">
        <v>167</v>
      </c>
      <c r="D60" s="91" t="s">
        <v>141</v>
      </c>
      <c r="E60" s="103"/>
      <c r="F60" s="101"/>
      <c r="I60" s="74"/>
    </row>
    <row r="61" spans="1:9" ht="15.75" thickBot="1" x14ac:dyDescent="0.3">
      <c r="A61" s="111" t="s">
        <v>212</v>
      </c>
      <c r="B61" s="88">
        <f>D10</f>
        <v>3.3042324397615821</v>
      </c>
      <c r="C61" s="100">
        <f>'Detalhamentos dos custos por M²'!B3*24</f>
        <v>6000</v>
      </c>
      <c r="D61" s="94">
        <f>C61*B61</f>
        <v>19825.394638569491</v>
      </c>
      <c r="E61" s="103"/>
      <c r="F61" s="101"/>
      <c r="I61" s="74"/>
    </row>
    <row r="62" spans="1:9" ht="15.75" thickBot="1" x14ac:dyDescent="0.3">
      <c r="A62" s="111" t="s">
        <v>213</v>
      </c>
      <c r="B62" s="88">
        <f>D21</f>
        <v>3.3042324397615821</v>
      </c>
      <c r="C62" s="100">
        <f>'Detalhamentos dos custos por M²'!B4*24</f>
        <v>120000</v>
      </c>
      <c r="D62" s="94">
        <f t="shared" ref="D62:D73" si="0">C62*B62</f>
        <v>396507.89277138986</v>
      </c>
      <c r="E62" s="103"/>
      <c r="F62" s="101"/>
      <c r="I62" s="74"/>
    </row>
    <row r="63" spans="1:9" ht="15.75" thickBot="1" x14ac:dyDescent="0.3">
      <c r="A63" s="111" t="s">
        <v>214</v>
      </c>
      <c r="B63" s="88">
        <f>D32</f>
        <v>8.8112865060308838</v>
      </c>
      <c r="C63" s="100">
        <f>'Detalhamentos dos custos por M²'!B5*24</f>
        <v>28800</v>
      </c>
      <c r="D63" s="94">
        <f t="shared" si="0"/>
        <v>253765.05137368946</v>
      </c>
      <c r="E63" s="103"/>
      <c r="F63" s="101"/>
      <c r="I63" s="74"/>
    </row>
    <row r="64" spans="1:9" ht="15.75" thickBot="1" x14ac:dyDescent="0.3">
      <c r="A64" s="111" t="s">
        <v>215</v>
      </c>
      <c r="B64" s="88">
        <f>I11</f>
        <v>1.5860315710855595</v>
      </c>
      <c r="C64" s="100">
        <f>'Detalhamentos dos custos por M²'!B6*24</f>
        <v>6360</v>
      </c>
      <c r="D64" s="94">
        <f t="shared" si="0"/>
        <v>10087.160792104158</v>
      </c>
      <c r="E64" s="103"/>
      <c r="F64" s="101"/>
      <c r="I64" s="74"/>
    </row>
    <row r="65" spans="1:13" ht="15.75" thickBot="1" x14ac:dyDescent="0.3">
      <c r="A65" s="111" t="s">
        <v>216</v>
      </c>
      <c r="B65" s="88">
        <f>I23</f>
        <v>2.202821626507721</v>
      </c>
      <c r="C65" s="100">
        <f>'Detalhamentos dos custos por M²'!B7*24</f>
        <v>3360</v>
      </c>
      <c r="D65" s="94">
        <f t="shared" si="0"/>
        <v>7401.480665065942</v>
      </c>
      <c r="E65" s="103"/>
      <c r="F65" s="101"/>
      <c r="K65" s="74"/>
      <c r="L65" s="75"/>
      <c r="M65" s="74"/>
    </row>
    <row r="66" spans="1:13" ht="15.75" thickBot="1" x14ac:dyDescent="0.3">
      <c r="A66" s="111" t="s">
        <v>217</v>
      </c>
      <c r="B66" s="88">
        <f>I34</f>
        <v>2.6433859518092655</v>
      </c>
      <c r="C66" s="100">
        <f>'Detalhamentos dos custos por M²'!B8*24</f>
        <v>7728</v>
      </c>
      <c r="D66" s="94">
        <f t="shared" si="0"/>
        <v>20428.086635582004</v>
      </c>
      <c r="E66" s="103"/>
      <c r="F66" s="101"/>
    </row>
    <row r="67" spans="1:13" ht="43.5" thickBot="1" x14ac:dyDescent="0.3">
      <c r="A67" s="112" t="s">
        <v>218</v>
      </c>
      <c r="B67" s="110">
        <f>N11</f>
        <v>21.51491288833952</v>
      </c>
      <c r="C67" s="100">
        <f>'Detalhamentos dos custos por M²'!B9*24</f>
        <v>10200</v>
      </c>
      <c r="D67" s="94">
        <f t="shared" si="0"/>
        <v>219452.11146106309</v>
      </c>
      <c r="E67" s="103"/>
      <c r="F67" s="101"/>
    </row>
    <row r="68" spans="1:13" ht="35.25" customHeight="1" thickBot="1" x14ac:dyDescent="0.3">
      <c r="A68" s="112" t="s">
        <v>219</v>
      </c>
      <c r="B68" s="110">
        <f>D44</f>
        <v>1.4685477510051475</v>
      </c>
      <c r="C68" s="100">
        <f>'Detalhamentos dos custos por M²'!B10*24</f>
        <v>24000</v>
      </c>
      <c r="D68" s="94">
        <f t="shared" si="0"/>
        <v>35245.14602412354</v>
      </c>
      <c r="E68" s="103"/>
      <c r="F68" s="101"/>
    </row>
    <row r="69" spans="1:13" ht="29.25" thickBot="1" x14ac:dyDescent="0.3">
      <c r="A69" s="112" t="s">
        <v>220</v>
      </c>
      <c r="B69" s="110">
        <f>I45</f>
        <v>0.44056432530154427</v>
      </c>
      <c r="C69" s="100">
        <f>'Detalhamentos dos custos por M²'!B11*24</f>
        <v>84000</v>
      </c>
      <c r="D69" s="94">
        <f t="shared" si="0"/>
        <v>37007.403325329717</v>
      </c>
      <c r="E69" s="103"/>
      <c r="F69" s="101"/>
    </row>
    <row r="70" spans="1:13" ht="15.75" thickBot="1" x14ac:dyDescent="0.3">
      <c r="A70" s="111" t="s">
        <v>221</v>
      </c>
      <c r="B70" s="110">
        <f>N45</f>
        <v>1.4685477510051475</v>
      </c>
      <c r="C70" s="100">
        <f>'Detalhamentos dos custos por M²'!B12*24</f>
        <v>18000</v>
      </c>
      <c r="D70" s="94">
        <f t="shared" si="0"/>
        <v>26433.859518092653</v>
      </c>
      <c r="E70" s="103"/>
      <c r="F70" s="101"/>
    </row>
    <row r="71" spans="1:13" ht="15.75" thickBot="1" x14ac:dyDescent="0.3">
      <c r="A71" s="111" t="s">
        <v>222</v>
      </c>
      <c r="B71" s="110">
        <f>G55</f>
        <v>0.88670657769682548</v>
      </c>
      <c r="C71" s="100">
        <f>'Detalhamentos dos custos por M²'!B13*24</f>
        <v>6000</v>
      </c>
      <c r="D71" s="94">
        <f t="shared" si="0"/>
        <v>5320.2394661809531</v>
      </c>
      <c r="E71" s="103"/>
      <c r="F71" s="101"/>
    </row>
    <row r="72" spans="1:13" ht="15.75" thickBot="1" x14ac:dyDescent="0.3">
      <c r="A72" s="111" t="s">
        <v>223</v>
      </c>
      <c r="B72" s="110">
        <f>G55</f>
        <v>0.88670657769682548</v>
      </c>
      <c r="C72" s="100">
        <f>'Detalhamentos dos custos por M²'!B14*24</f>
        <v>6000</v>
      </c>
      <c r="D72" s="94">
        <f t="shared" si="0"/>
        <v>5320.2394661809531</v>
      </c>
      <c r="E72" s="103"/>
      <c r="F72" s="101"/>
    </row>
    <row r="73" spans="1:13" ht="29.25" thickBot="1" x14ac:dyDescent="0.3">
      <c r="A73" s="113" t="s">
        <v>224</v>
      </c>
      <c r="B73" s="110">
        <f>N24</f>
        <v>13.239946392824322</v>
      </c>
      <c r="C73" s="100">
        <f>'Detalhamentos dos custos por M²'!B15*24</f>
        <v>2160</v>
      </c>
      <c r="D73" s="94">
        <f t="shared" si="0"/>
        <v>28598.284208500536</v>
      </c>
      <c r="E73" s="103"/>
      <c r="F73" s="101"/>
    </row>
    <row r="74" spans="1:13" s="69" customFormat="1" x14ac:dyDescent="0.25">
      <c r="A74" s="147" t="s">
        <v>148</v>
      </c>
      <c r="B74" s="148"/>
      <c r="C74" s="149"/>
      <c r="D74" s="93">
        <f>SUM(D61:D73)</f>
        <v>1065392.3503458726</v>
      </c>
      <c r="E74" s="104"/>
      <c r="F74" s="102"/>
    </row>
    <row r="77" spans="1:13" x14ac:dyDescent="0.25">
      <c r="D77" s="74"/>
    </row>
    <row r="78" spans="1:13" x14ac:dyDescent="0.25">
      <c r="D78" s="74"/>
    </row>
    <row r="79" spans="1:13" x14ac:dyDescent="0.25">
      <c r="E79" s="74"/>
    </row>
  </sheetData>
  <mergeCells count="114">
    <mergeCell ref="D6:D7"/>
    <mergeCell ref="A59:A60"/>
    <mergeCell ref="A74:C74"/>
    <mergeCell ref="A51:A52"/>
    <mergeCell ref="C51:C52"/>
    <mergeCell ref="E51:E52"/>
    <mergeCell ref="A55:F55"/>
    <mergeCell ref="E59:F59"/>
    <mergeCell ref="A1:G1"/>
    <mergeCell ref="A2:D2"/>
    <mergeCell ref="A47:G47"/>
    <mergeCell ref="A56:G56"/>
    <mergeCell ref="A57:D57"/>
    <mergeCell ref="F51:F52"/>
    <mergeCell ref="G51:G52"/>
    <mergeCell ref="A53:A54"/>
    <mergeCell ref="C53:C54"/>
    <mergeCell ref="E53:E54"/>
    <mergeCell ref="F53:F54"/>
    <mergeCell ref="G53:G54"/>
    <mergeCell ref="A24:D24"/>
    <mergeCell ref="A10:C10"/>
    <mergeCell ref="A11:D11"/>
    <mergeCell ref="A6:A7"/>
    <mergeCell ref="A19:A20"/>
    <mergeCell ref="C19:C20"/>
    <mergeCell ref="D19:D20"/>
    <mergeCell ref="F3:I3"/>
    <mergeCell ref="F7:F8"/>
    <mergeCell ref="H7:H8"/>
    <mergeCell ref="I7:I8"/>
    <mergeCell ref="F9:F10"/>
    <mergeCell ref="H9:H10"/>
    <mergeCell ref="I9:I10"/>
    <mergeCell ref="F11:H11"/>
    <mergeCell ref="F12:I12"/>
    <mergeCell ref="F15:I15"/>
    <mergeCell ref="F19:F20"/>
    <mergeCell ref="H19:H20"/>
    <mergeCell ref="I19:I20"/>
    <mergeCell ref="A8:A9"/>
    <mergeCell ref="C8:C9"/>
    <mergeCell ref="D8:D9"/>
    <mergeCell ref="A13:D13"/>
    <mergeCell ref="A17:A18"/>
    <mergeCell ref="C17:C18"/>
    <mergeCell ref="D17:D18"/>
    <mergeCell ref="C6:C7"/>
    <mergeCell ref="A44:C44"/>
    <mergeCell ref="A45:D45"/>
    <mergeCell ref="A40:A41"/>
    <mergeCell ref="C40:C41"/>
    <mergeCell ref="D40:D41"/>
    <mergeCell ref="A42:A43"/>
    <mergeCell ref="C42:C43"/>
    <mergeCell ref="D42:D43"/>
    <mergeCell ref="A32:C32"/>
    <mergeCell ref="A33:D33"/>
    <mergeCell ref="A28:A29"/>
    <mergeCell ref="C28:C29"/>
    <mergeCell ref="D28:D29"/>
    <mergeCell ref="A30:A31"/>
    <mergeCell ref="C30:C31"/>
    <mergeCell ref="D30:D31"/>
    <mergeCell ref="A21:C21"/>
    <mergeCell ref="I32:I33"/>
    <mergeCell ref="F21:F22"/>
    <mergeCell ref="H21:H22"/>
    <mergeCell ref="I21:I22"/>
    <mergeCell ref="F23:H23"/>
    <mergeCell ref="F24:I24"/>
    <mergeCell ref="A22:D22"/>
    <mergeCell ref="K16:N16"/>
    <mergeCell ref="K20:K21"/>
    <mergeCell ref="M20:M21"/>
    <mergeCell ref="N20:N21"/>
    <mergeCell ref="K22:K23"/>
    <mergeCell ref="F26:I26"/>
    <mergeCell ref="F30:F31"/>
    <mergeCell ref="H30:H31"/>
    <mergeCell ref="I30:I31"/>
    <mergeCell ref="M22:M23"/>
    <mergeCell ref="N22:N23"/>
    <mergeCell ref="K24:M24"/>
    <mergeCell ref="K25:N25"/>
    <mergeCell ref="K3:N3"/>
    <mergeCell ref="K7:K8"/>
    <mergeCell ref="M7:M8"/>
    <mergeCell ref="N7:N8"/>
    <mergeCell ref="K9:K10"/>
    <mergeCell ref="M9:M10"/>
    <mergeCell ref="N9:N10"/>
    <mergeCell ref="K11:M11"/>
    <mergeCell ref="K12:N12"/>
    <mergeCell ref="F34:H34"/>
    <mergeCell ref="F35:I35"/>
    <mergeCell ref="F32:F33"/>
    <mergeCell ref="H32:H33"/>
    <mergeCell ref="F45:H45"/>
    <mergeCell ref="F46:I46"/>
    <mergeCell ref="K41:K42"/>
    <mergeCell ref="M41:M42"/>
    <mergeCell ref="N41:N42"/>
    <mergeCell ref="K43:K44"/>
    <mergeCell ref="M43:M44"/>
    <mergeCell ref="N43:N44"/>
    <mergeCell ref="K45:M45"/>
    <mergeCell ref="K46:N46"/>
    <mergeCell ref="F41:F42"/>
    <mergeCell ref="H41:H42"/>
    <mergeCell ref="I41:I42"/>
    <mergeCell ref="F43:F44"/>
    <mergeCell ref="H43:H44"/>
    <mergeCell ref="I43:I44"/>
  </mergeCells>
  <pageMargins left="0.511811024" right="0.511811024" top="0.78740157499999996" bottom="0.78740157499999996" header="0.31496062000000002" footer="0.31496062000000002"/>
  <pageSetup paperSize="9" scale="3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D53"/>
  <sheetViews>
    <sheetView topLeftCell="A28" zoomScale="130" zoomScaleNormal="130" workbookViewId="0">
      <selection activeCell="H9" sqref="H9"/>
    </sheetView>
  </sheetViews>
  <sheetFormatPr defaultRowHeight="15" x14ac:dyDescent="0.25"/>
  <cols>
    <col min="1" max="1" width="56.85546875" style="1" customWidth="1"/>
    <col min="2" max="2" width="17.85546875" style="5" customWidth="1"/>
    <col min="3" max="3" width="22.140625" style="2" customWidth="1"/>
    <col min="4" max="4" width="12.42578125" bestFit="1" customWidth="1"/>
  </cols>
  <sheetData>
    <row r="2" spans="1:3" x14ac:dyDescent="0.25">
      <c r="A2" s="4" t="s">
        <v>168</v>
      </c>
      <c r="B2" s="9" t="s">
        <v>169</v>
      </c>
      <c r="C2" s="3" t="s">
        <v>170</v>
      </c>
    </row>
    <row r="3" spans="1:3" x14ac:dyDescent="0.25">
      <c r="A3" s="1" t="s">
        <v>171</v>
      </c>
      <c r="B3" s="41">
        <v>250</v>
      </c>
      <c r="C3" s="53">
        <f>'DEMONSTRATIVO DO VALOR GLOBAL'!D10</f>
        <v>3.3042324397615821</v>
      </c>
    </row>
    <row r="4" spans="1:3" x14ac:dyDescent="0.25">
      <c r="A4" s="1" t="s">
        <v>172</v>
      </c>
      <c r="B4" s="41">
        <v>5000</v>
      </c>
      <c r="C4" s="53">
        <f>'DEMONSTRATIVO DO VALOR GLOBAL'!D21</f>
        <v>3.3042324397615821</v>
      </c>
    </row>
    <row r="5" spans="1:3" x14ac:dyDescent="0.25">
      <c r="A5" s="1" t="s">
        <v>190</v>
      </c>
      <c r="B5" s="41">
        <v>1200</v>
      </c>
      <c r="C5" s="53">
        <f>'DEMONSTRATIVO DO VALOR GLOBAL'!D32</f>
        <v>8.8112865060308838</v>
      </c>
    </row>
    <row r="6" spans="1:3" x14ac:dyDescent="0.25">
      <c r="A6" s="1" t="s">
        <v>191</v>
      </c>
      <c r="B6" s="41">
        <v>265</v>
      </c>
      <c r="C6" s="53">
        <f>'DEMONSTRATIVO DO VALOR GLOBAL'!I11</f>
        <v>1.5860315710855595</v>
      </c>
    </row>
    <row r="7" spans="1:3" x14ac:dyDescent="0.25">
      <c r="A7" s="1" t="s">
        <v>192</v>
      </c>
      <c r="B7" s="41">
        <v>140</v>
      </c>
      <c r="C7" s="53">
        <f>'DEMONSTRATIVO DO VALOR GLOBAL'!I23</f>
        <v>2.202821626507721</v>
      </c>
    </row>
    <row r="8" spans="1:3" x14ac:dyDescent="0.25">
      <c r="A8" s="1" t="s">
        <v>193</v>
      </c>
      <c r="B8" s="41">
        <v>322</v>
      </c>
      <c r="C8" s="53">
        <f>'DEMONSTRATIVO DO VALOR GLOBAL'!I34</f>
        <v>2.6433859518092655</v>
      </c>
    </row>
    <row r="9" spans="1:3" x14ac:dyDescent="0.25">
      <c r="A9" s="1" t="s">
        <v>194</v>
      </c>
      <c r="B9" s="41">
        <v>425</v>
      </c>
      <c r="C9" s="53">
        <f>'DEMONSTRATIVO DO VALOR GLOBAL'!N11</f>
        <v>21.51491288833952</v>
      </c>
    </row>
    <row r="10" spans="1:3" x14ac:dyDescent="0.25">
      <c r="A10" s="1" t="s">
        <v>173</v>
      </c>
      <c r="B10" s="41">
        <v>1000</v>
      </c>
      <c r="C10" s="53">
        <f>'DEMONSTRATIVO DO VALOR GLOBAL'!D44</f>
        <v>1.4685477510051475</v>
      </c>
    </row>
    <row r="11" spans="1:3" x14ac:dyDescent="0.25">
      <c r="A11" s="1" t="s">
        <v>195</v>
      </c>
      <c r="B11" s="41">
        <v>3500</v>
      </c>
      <c r="C11" s="53">
        <f>'DEMONSTRATIVO DO VALOR GLOBAL'!I45</f>
        <v>0.44056432530154427</v>
      </c>
    </row>
    <row r="12" spans="1:3" x14ac:dyDescent="0.25">
      <c r="A12" s="1" t="s">
        <v>14</v>
      </c>
      <c r="B12" s="41">
        <v>750</v>
      </c>
      <c r="C12" s="53">
        <f>'DEMONSTRATIVO DO VALOR GLOBAL'!N45</f>
        <v>1.4685477510051475</v>
      </c>
    </row>
    <row r="13" spans="1:3" ht="30" x14ac:dyDescent="0.25">
      <c r="A13" s="1" t="s">
        <v>174</v>
      </c>
      <c r="B13" s="41">
        <v>250</v>
      </c>
      <c r="C13" s="53">
        <f>'DEMONSTRATIVO DO VALOR GLOBAL'!G55</f>
        <v>0.88670657769682548</v>
      </c>
    </row>
    <row r="14" spans="1:3" x14ac:dyDescent="0.25">
      <c r="A14" s="1" t="s">
        <v>175</v>
      </c>
      <c r="B14" s="41">
        <v>250</v>
      </c>
      <c r="C14" s="53">
        <f>'DEMONSTRATIVO DO VALOR GLOBAL'!G55</f>
        <v>0.88670657769682548</v>
      </c>
    </row>
    <row r="15" spans="1:3" x14ac:dyDescent="0.25">
      <c r="A15" s="1" t="s">
        <v>196</v>
      </c>
      <c r="B15" s="41">
        <v>90</v>
      </c>
      <c r="C15" s="53">
        <f>'DEMONSTRATIVO DO VALOR GLOBAL'!N24</f>
        <v>13.239946392824322</v>
      </c>
    </row>
    <row r="16" spans="1:3" ht="15.75" thickBot="1" x14ac:dyDescent="0.3">
      <c r="B16" s="81"/>
      <c r="C16" s="82"/>
    </row>
    <row r="17" spans="1:4" x14ac:dyDescent="0.25">
      <c r="A17" s="46" t="s">
        <v>176</v>
      </c>
      <c r="B17" s="51" t="e">
        <f>#REF!</f>
        <v>#REF!</v>
      </c>
      <c r="C17" s="47"/>
    </row>
    <row r="18" spans="1:4" ht="15.75" thickBot="1" x14ac:dyDescent="0.3">
      <c r="A18" s="176" t="s">
        <v>177</v>
      </c>
      <c r="B18" s="176"/>
      <c r="C18" s="118"/>
    </row>
    <row r="19" spans="1:4" x14ac:dyDescent="0.25">
      <c r="A19" s="1" t="s">
        <v>178</v>
      </c>
      <c r="B19" s="7">
        <v>1200</v>
      </c>
      <c r="C19" s="105">
        <f>B3/B19</f>
        <v>0.20833333333333334</v>
      </c>
      <c r="D19" s="99"/>
    </row>
    <row r="20" spans="1:4" x14ac:dyDescent="0.25">
      <c r="A20" s="1" t="s">
        <v>179</v>
      </c>
      <c r="B20" s="109">
        <v>1200</v>
      </c>
      <c r="C20" s="105">
        <f t="shared" ref="C20:C31" si="0">B4/B20</f>
        <v>4.166666666666667</v>
      </c>
      <c r="D20" s="99"/>
    </row>
    <row r="21" spans="1:4" x14ac:dyDescent="0.25">
      <c r="A21" s="1" t="s">
        <v>197</v>
      </c>
      <c r="B21" s="109">
        <v>450</v>
      </c>
      <c r="C21" s="105">
        <f t="shared" si="0"/>
        <v>2.6666666666666665</v>
      </c>
      <c r="D21" s="99"/>
    </row>
    <row r="22" spans="1:4" x14ac:dyDescent="0.25">
      <c r="A22" s="1" t="s">
        <v>198</v>
      </c>
      <c r="B22" s="8">
        <v>2500</v>
      </c>
      <c r="C22" s="105">
        <f t="shared" si="0"/>
        <v>0.106</v>
      </c>
      <c r="D22" s="99"/>
    </row>
    <row r="23" spans="1:4" x14ac:dyDescent="0.25">
      <c r="A23" s="1" t="s">
        <v>199</v>
      </c>
      <c r="B23" s="8">
        <v>1800</v>
      </c>
      <c r="C23" s="105">
        <f t="shared" si="0"/>
        <v>7.7777777777777779E-2</v>
      </c>
      <c r="D23" s="99"/>
    </row>
    <row r="24" spans="1:4" x14ac:dyDescent="0.25">
      <c r="A24" s="1" t="s">
        <v>200</v>
      </c>
      <c r="B24" s="8">
        <v>1500</v>
      </c>
      <c r="C24" s="105">
        <f t="shared" si="0"/>
        <v>0.21466666666666667</v>
      </c>
      <c r="D24" s="99"/>
    </row>
    <row r="25" spans="1:4" x14ac:dyDescent="0.25">
      <c r="A25" s="1" t="s">
        <v>201</v>
      </c>
      <c r="B25" s="8">
        <v>240</v>
      </c>
      <c r="C25" s="105">
        <f t="shared" si="0"/>
        <v>1.7708333333333333</v>
      </c>
      <c r="D25" s="99"/>
    </row>
    <row r="26" spans="1:4" x14ac:dyDescent="0.25">
      <c r="A26" s="1" t="s">
        <v>180</v>
      </c>
      <c r="B26" s="8">
        <v>2700</v>
      </c>
      <c r="C26" s="105">
        <f t="shared" si="0"/>
        <v>0.37037037037037035</v>
      </c>
      <c r="D26" s="99"/>
    </row>
    <row r="27" spans="1:4" x14ac:dyDescent="0.25">
      <c r="A27" s="1" t="s">
        <v>202</v>
      </c>
      <c r="B27" s="8">
        <v>9000</v>
      </c>
      <c r="C27" s="105">
        <f t="shared" si="0"/>
        <v>0.3888888888888889</v>
      </c>
      <c r="D27" s="99"/>
    </row>
    <row r="28" spans="1:4" x14ac:dyDescent="0.25">
      <c r="A28" s="1" t="s">
        <v>203</v>
      </c>
      <c r="B28" s="8">
        <v>2700</v>
      </c>
      <c r="C28" s="105">
        <f t="shared" si="0"/>
        <v>0.27777777777777779</v>
      </c>
      <c r="D28" s="99"/>
    </row>
    <row r="29" spans="1:4" x14ac:dyDescent="0.25">
      <c r="A29" s="1" t="s">
        <v>181</v>
      </c>
      <c r="B29" s="8">
        <v>380</v>
      </c>
      <c r="C29" s="105">
        <f t="shared" si="0"/>
        <v>0.65789473684210531</v>
      </c>
      <c r="D29" s="99"/>
    </row>
    <row r="30" spans="1:4" x14ac:dyDescent="0.25">
      <c r="A30" s="1" t="s">
        <v>182</v>
      </c>
      <c r="B30" s="8">
        <v>380</v>
      </c>
      <c r="C30" s="105">
        <f t="shared" si="0"/>
        <v>0.65789473684210531</v>
      </c>
      <c r="D30" s="99"/>
    </row>
    <row r="31" spans="1:4" x14ac:dyDescent="0.25">
      <c r="A31" s="1" t="s">
        <v>204</v>
      </c>
      <c r="B31" s="8">
        <v>390</v>
      </c>
      <c r="C31" s="105">
        <f t="shared" si="0"/>
        <v>0.23076923076923078</v>
      </c>
      <c r="D31" s="99"/>
    </row>
    <row r="32" spans="1:4" x14ac:dyDescent="0.25">
      <c r="B32" s="108"/>
      <c r="C32" s="105">
        <f>SUM(C19:C31)</f>
        <v>11.794540185934924</v>
      </c>
      <c r="D32" s="99"/>
    </row>
    <row r="33" spans="1:4" x14ac:dyDescent="0.25">
      <c r="A33" s="1" t="s">
        <v>183</v>
      </c>
      <c r="C33" s="106">
        <f>ROUNDDOWN(C32,0)</f>
        <v>11</v>
      </c>
      <c r="D33" s="99"/>
    </row>
    <row r="34" spans="1:4" x14ac:dyDescent="0.25">
      <c r="A34" s="48"/>
      <c r="B34" s="49"/>
      <c r="C34" s="50"/>
    </row>
    <row r="35" spans="1:4" x14ac:dyDescent="0.25">
      <c r="C35" s="6"/>
    </row>
    <row r="37" spans="1:4" x14ac:dyDescent="0.25">
      <c r="A37" s="52" t="s">
        <v>184</v>
      </c>
      <c r="B37" s="70" t="s">
        <v>185</v>
      </c>
      <c r="C37" s="71" t="s">
        <v>186</v>
      </c>
    </row>
    <row r="38" spans="1:4" x14ac:dyDescent="0.25">
      <c r="A38" s="114" t="s">
        <v>212</v>
      </c>
      <c r="B38" s="115">
        <v>3.3</v>
      </c>
      <c r="C38" s="116">
        <f>B38*B3</f>
        <v>825</v>
      </c>
      <c r="D38" s="74"/>
    </row>
    <row r="39" spans="1:4" x14ac:dyDescent="0.25">
      <c r="A39" s="114" t="s">
        <v>213</v>
      </c>
      <c r="B39" s="115">
        <v>3.3</v>
      </c>
      <c r="C39" s="116">
        <f t="shared" ref="C39:C50" si="1">B39*B4</f>
        <v>16500</v>
      </c>
      <c r="D39" s="74"/>
    </row>
    <row r="40" spans="1:4" x14ac:dyDescent="0.25">
      <c r="A40" s="114" t="s">
        <v>214</v>
      </c>
      <c r="B40" s="115">
        <v>8.81</v>
      </c>
      <c r="C40" s="116">
        <f t="shared" si="1"/>
        <v>10572</v>
      </c>
      <c r="D40" s="74"/>
    </row>
    <row r="41" spans="1:4" x14ac:dyDescent="0.25">
      <c r="A41" s="114" t="s">
        <v>215</v>
      </c>
      <c r="B41" s="115">
        <v>1.59</v>
      </c>
      <c r="C41" s="116">
        <f t="shared" si="1"/>
        <v>421.35</v>
      </c>
      <c r="D41" s="74"/>
    </row>
    <row r="42" spans="1:4" x14ac:dyDescent="0.25">
      <c r="A42" s="114" t="s">
        <v>216</v>
      </c>
      <c r="B42" s="115">
        <v>2.2000000000000002</v>
      </c>
      <c r="C42" s="116">
        <f t="shared" si="1"/>
        <v>308</v>
      </c>
      <c r="D42" s="74"/>
    </row>
    <row r="43" spans="1:4" x14ac:dyDescent="0.25">
      <c r="A43" s="114" t="s">
        <v>217</v>
      </c>
      <c r="B43" s="115">
        <v>2.64</v>
      </c>
      <c r="C43" s="116">
        <f t="shared" si="1"/>
        <v>850.08</v>
      </c>
      <c r="D43" s="74"/>
    </row>
    <row r="44" spans="1:4" ht="28.5" x14ac:dyDescent="0.25">
      <c r="A44" s="117" t="s">
        <v>218</v>
      </c>
      <c r="B44" s="115">
        <v>21.51</v>
      </c>
      <c r="C44" s="116">
        <f t="shared" si="1"/>
        <v>9141.75</v>
      </c>
      <c r="D44" s="74"/>
    </row>
    <row r="45" spans="1:4" ht="28.5" x14ac:dyDescent="0.25">
      <c r="A45" s="117" t="s">
        <v>219</v>
      </c>
      <c r="B45" s="115">
        <v>1.47</v>
      </c>
      <c r="C45" s="116">
        <f t="shared" si="1"/>
        <v>1470</v>
      </c>
      <c r="D45" s="74"/>
    </row>
    <row r="46" spans="1:4" x14ac:dyDescent="0.25">
      <c r="A46" s="117" t="s">
        <v>220</v>
      </c>
      <c r="B46" s="115">
        <v>0.44</v>
      </c>
      <c r="C46" s="116">
        <f t="shared" si="1"/>
        <v>1540</v>
      </c>
      <c r="D46" s="74"/>
    </row>
    <row r="47" spans="1:4" x14ac:dyDescent="0.25">
      <c r="A47" s="114" t="s">
        <v>221</v>
      </c>
      <c r="B47" s="115">
        <v>1.47</v>
      </c>
      <c r="C47" s="116">
        <f t="shared" si="1"/>
        <v>1102.5</v>
      </c>
      <c r="D47" s="74"/>
    </row>
    <row r="48" spans="1:4" x14ac:dyDescent="0.25">
      <c r="A48" s="114" t="s">
        <v>222</v>
      </c>
      <c r="B48" s="115">
        <v>0.89</v>
      </c>
      <c r="C48" s="116">
        <f t="shared" si="1"/>
        <v>222.5</v>
      </c>
      <c r="D48" s="74"/>
    </row>
    <row r="49" spans="1:4" x14ac:dyDescent="0.25">
      <c r="A49" s="114" t="s">
        <v>223</v>
      </c>
      <c r="B49" s="115">
        <v>0.89</v>
      </c>
      <c r="C49" s="116">
        <f t="shared" si="1"/>
        <v>222.5</v>
      </c>
      <c r="D49" s="74"/>
    </row>
    <row r="50" spans="1:4" x14ac:dyDescent="0.25">
      <c r="A50" s="117" t="s">
        <v>224</v>
      </c>
      <c r="B50" s="115">
        <v>13.24</v>
      </c>
      <c r="C50" s="116">
        <f t="shared" si="1"/>
        <v>1191.5999999999999</v>
      </c>
      <c r="D50" s="74"/>
    </row>
    <row r="51" spans="1:4" x14ac:dyDescent="0.25">
      <c r="A51" s="172" t="s">
        <v>187</v>
      </c>
      <c r="B51" s="173"/>
      <c r="C51" s="72">
        <f>SUM(C38:C50)</f>
        <v>44367.28</v>
      </c>
      <c r="D51" s="74"/>
    </row>
    <row r="52" spans="1:4" x14ac:dyDescent="0.25">
      <c r="A52" s="172" t="s">
        <v>188</v>
      </c>
      <c r="B52" s="173"/>
      <c r="C52" s="72">
        <f>C51*12</f>
        <v>532407.36</v>
      </c>
      <c r="D52" s="74"/>
    </row>
    <row r="53" spans="1:4" ht="15.75" thickBot="1" x14ac:dyDescent="0.3">
      <c r="A53" s="174" t="s">
        <v>225</v>
      </c>
      <c r="B53" s="175"/>
      <c r="C53" s="73">
        <f>C51*24</f>
        <v>1064814.72</v>
      </c>
    </row>
  </sheetData>
  <mergeCells count="4">
    <mergeCell ref="A51:B51"/>
    <mergeCell ref="A53:B53"/>
    <mergeCell ref="A52:B52"/>
    <mergeCell ref="A18:B18"/>
  </mergeCells>
  <pageMargins left="0.25" right="0.25" top="0.75" bottom="0.75" header="0.3" footer="0.3"/>
  <pageSetup scale="61" orientation="landscape" horizont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A426E-E2ED-4244-96F1-6376CC83B644}">
  <dimension ref="A2:E17"/>
  <sheetViews>
    <sheetView workbookViewId="0">
      <selection activeCell="A3" sqref="A3:E17"/>
    </sheetView>
  </sheetViews>
  <sheetFormatPr defaultRowHeight="15" x14ac:dyDescent="0.25"/>
  <cols>
    <col min="1" max="1" width="34.7109375" bestFit="1" customWidth="1"/>
    <col min="2" max="2" width="23.140625" customWidth="1"/>
    <col min="3" max="3" width="18.7109375" bestFit="1" customWidth="1"/>
    <col min="4" max="4" width="13.7109375" bestFit="1" customWidth="1"/>
    <col min="5" max="5" width="15.5703125" customWidth="1"/>
  </cols>
  <sheetData>
    <row r="2" spans="1:5" ht="15.75" thickBot="1" x14ac:dyDescent="0.3"/>
    <row r="3" spans="1:5" ht="31.5" customHeight="1" x14ac:dyDescent="0.25">
      <c r="A3" s="122" t="s">
        <v>168</v>
      </c>
      <c r="B3" s="123" t="s">
        <v>226</v>
      </c>
      <c r="C3" s="123" t="s">
        <v>177</v>
      </c>
      <c r="D3" s="124" t="s">
        <v>227</v>
      </c>
      <c r="E3" s="125" t="s">
        <v>228</v>
      </c>
    </row>
    <row r="4" spans="1:5" x14ac:dyDescent="0.25">
      <c r="A4" s="126" t="s">
        <v>171</v>
      </c>
      <c r="B4" s="119">
        <v>1200</v>
      </c>
      <c r="C4" s="119">
        <v>1200</v>
      </c>
      <c r="D4" s="119">
        <v>250</v>
      </c>
      <c r="E4" s="127">
        <f t="shared" ref="E4:E16" si="0">D4*24</f>
        <v>6000</v>
      </c>
    </row>
    <row r="5" spans="1:5" x14ac:dyDescent="0.25">
      <c r="A5" s="126" t="s">
        <v>172</v>
      </c>
      <c r="B5" s="121">
        <v>1200</v>
      </c>
      <c r="C5" s="121">
        <v>1200</v>
      </c>
      <c r="D5" s="119">
        <v>5000</v>
      </c>
      <c r="E5" s="128">
        <f t="shared" si="0"/>
        <v>120000</v>
      </c>
    </row>
    <row r="6" spans="1:5" x14ac:dyDescent="0.25">
      <c r="A6" s="126" t="s">
        <v>190</v>
      </c>
      <c r="B6" s="121">
        <v>450</v>
      </c>
      <c r="C6" s="121">
        <v>450</v>
      </c>
      <c r="D6" s="119">
        <v>1200</v>
      </c>
      <c r="E6" s="128">
        <f t="shared" si="0"/>
        <v>28800</v>
      </c>
    </row>
    <row r="7" spans="1:5" x14ac:dyDescent="0.25">
      <c r="A7" s="126" t="s">
        <v>191</v>
      </c>
      <c r="B7" s="119">
        <v>2500</v>
      </c>
      <c r="C7" s="119">
        <v>2500</v>
      </c>
      <c r="D7" s="119">
        <v>265</v>
      </c>
      <c r="E7" s="127">
        <f t="shared" si="0"/>
        <v>6360</v>
      </c>
    </row>
    <row r="8" spans="1:5" x14ac:dyDescent="0.25">
      <c r="A8" s="126" t="s">
        <v>192</v>
      </c>
      <c r="B8" s="119">
        <v>1800</v>
      </c>
      <c r="C8" s="119">
        <v>1800</v>
      </c>
      <c r="D8" s="119">
        <v>140</v>
      </c>
      <c r="E8" s="127">
        <f t="shared" si="0"/>
        <v>3360</v>
      </c>
    </row>
    <row r="9" spans="1:5" ht="30" x14ac:dyDescent="0.25">
      <c r="A9" s="126" t="s">
        <v>193</v>
      </c>
      <c r="B9" s="119">
        <v>1500</v>
      </c>
      <c r="C9" s="119">
        <v>1500</v>
      </c>
      <c r="D9" s="119">
        <v>322</v>
      </c>
      <c r="E9" s="127">
        <f t="shared" si="0"/>
        <v>7728</v>
      </c>
    </row>
    <row r="10" spans="1:5" ht="30" x14ac:dyDescent="0.25">
      <c r="A10" s="126" t="s">
        <v>194</v>
      </c>
      <c r="B10" s="119">
        <v>240</v>
      </c>
      <c r="C10" s="119">
        <v>240</v>
      </c>
      <c r="D10" s="119">
        <v>425</v>
      </c>
      <c r="E10" s="127">
        <f t="shared" si="0"/>
        <v>10200</v>
      </c>
    </row>
    <row r="11" spans="1:5" ht="30" x14ac:dyDescent="0.25">
      <c r="A11" s="126" t="s">
        <v>173</v>
      </c>
      <c r="B11" s="119">
        <v>2700</v>
      </c>
      <c r="C11" s="119">
        <v>2700</v>
      </c>
      <c r="D11" s="119">
        <v>1000</v>
      </c>
      <c r="E11" s="127">
        <f t="shared" si="0"/>
        <v>24000</v>
      </c>
    </row>
    <row r="12" spans="1:5" ht="30" x14ac:dyDescent="0.25">
      <c r="A12" s="126" t="s">
        <v>195</v>
      </c>
      <c r="B12" s="119">
        <v>9000</v>
      </c>
      <c r="C12" s="119">
        <v>9000</v>
      </c>
      <c r="D12" s="119">
        <v>3500</v>
      </c>
      <c r="E12" s="127">
        <f t="shared" si="0"/>
        <v>84000</v>
      </c>
    </row>
    <row r="13" spans="1:5" x14ac:dyDescent="0.25">
      <c r="A13" s="126" t="s">
        <v>14</v>
      </c>
      <c r="B13" s="119">
        <v>2700</v>
      </c>
      <c r="C13" s="119">
        <v>2700</v>
      </c>
      <c r="D13" s="119">
        <v>750</v>
      </c>
      <c r="E13" s="127">
        <f t="shared" si="0"/>
        <v>18000</v>
      </c>
    </row>
    <row r="14" spans="1:5" ht="30" x14ac:dyDescent="0.25">
      <c r="A14" s="126" t="s">
        <v>174</v>
      </c>
      <c r="B14" s="119">
        <v>380</v>
      </c>
      <c r="C14" s="119">
        <v>380</v>
      </c>
      <c r="D14" s="119">
        <v>250</v>
      </c>
      <c r="E14" s="127">
        <f t="shared" si="0"/>
        <v>6000</v>
      </c>
    </row>
    <row r="15" spans="1:5" x14ac:dyDescent="0.25">
      <c r="A15" s="126" t="s">
        <v>175</v>
      </c>
      <c r="B15" s="119">
        <v>380</v>
      </c>
      <c r="C15" s="119">
        <v>380</v>
      </c>
      <c r="D15" s="119">
        <v>250</v>
      </c>
      <c r="E15" s="127">
        <f t="shared" si="0"/>
        <v>6000</v>
      </c>
    </row>
    <row r="16" spans="1:5" ht="30.75" thickBot="1" x14ac:dyDescent="0.3">
      <c r="A16" s="129" t="s">
        <v>196</v>
      </c>
      <c r="B16" s="120">
        <v>390</v>
      </c>
      <c r="C16" s="120">
        <v>390</v>
      </c>
      <c r="D16" s="120">
        <v>90</v>
      </c>
      <c r="E16" s="130">
        <f t="shared" si="0"/>
        <v>2160</v>
      </c>
    </row>
    <row r="17" spans="3:5" ht="15.75" thickBot="1" x14ac:dyDescent="0.3">
      <c r="C17" s="132" t="s">
        <v>229</v>
      </c>
      <c r="D17" s="131">
        <f>SUM(D4:D16)</f>
        <v>13442</v>
      </c>
      <c r="E17" s="131">
        <f>SUM(E4:E16)</f>
        <v>322608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bac93f5-ee8b-4134-ac78-b42e3e3d294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7FF92A0DFF304D938F95669116C98D" ma:contentTypeVersion="10" ma:contentTypeDescription="Create a new document." ma:contentTypeScope="" ma:versionID="040e2102ed3a1b00bd1743a261292c6c">
  <xsd:schema xmlns:xsd="http://www.w3.org/2001/XMLSchema" xmlns:xs="http://www.w3.org/2001/XMLSchema" xmlns:p="http://schemas.microsoft.com/office/2006/metadata/properties" xmlns:ns3="7bac93f5-ee8b-4134-ac78-b42e3e3d294c" targetNamespace="http://schemas.microsoft.com/office/2006/metadata/properties" ma:root="true" ma:fieldsID="6d19a21faa272424eea8c964f57a850a" ns3:_="">
    <xsd:import namespace="7bac93f5-ee8b-4134-ac78-b42e3e3d294c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c93f5-ee8b-4134-ac78-b42e3e3d294c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8358A6-17FB-400F-85F5-01FC7E52E837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7bac93f5-ee8b-4134-ac78-b42e3e3d294c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45BC67-76DB-4DFA-9942-ADA84B7A6F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ac93f5-ee8b-4134-ac78-b42e3e3d29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6BC3C9-7332-4680-9B6E-B75A540F3F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</vt:i4>
      </vt:variant>
    </vt:vector>
  </HeadingPairs>
  <TitlesOfParts>
    <vt:vector size="9" baseType="lpstr">
      <vt:lpstr>Planilha1</vt:lpstr>
      <vt:lpstr>ENCARREGADO</vt:lpstr>
      <vt:lpstr>ASG </vt:lpstr>
      <vt:lpstr>ASG COM INSALUBRIDADE</vt:lpstr>
      <vt:lpstr>ASG-INSAL</vt:lpstr>
      <vt:lpstr>DEMONSTRATIVO DO VALOR GLOBAL</vt:lpstr>
      <vt:lpstr>Detalhamentos dos custos por M²</vt:lpstr>
      <vt:lpstr>Planilha2</vt:lpstr>
      <vt:lpstr>'ASG-INSAL'!Area_de_impressao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CTI</dc:creator>
  <cp:keywords/>
  <dc:description/>
  <cp:lastModifiedBy>Tatiana Millions Rivasplata</cp:lastModifiedBy>
  <cp:revision/>
  <cp:lastPrinted>2025-02-03T19:50:40Z</cp:lastPrinted>
  <dcterms:created xsi:type="dcterms:W3CDTF">2017-06-12T19:52:20Z</dcterms:created>
  <dcterms:modified xsi:type="dcterms:W3CDTF">2025-05-15T13:52:30Z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0x010100CD7FF92A0DFF304D938F95669116C98D</vt:lpwstr>
  </property>
  <property fmtid="{D5CDD505-2E9C-101B-9397-08002B2CF9AE}" pid="3" name="Order">
    <vt:r8>571200</vt:r8>
  </property>
  <property fmtid="{D5CDD505-2E9C-101B-9397-08002B2CF9AE}" pid="4" name="MediaServiceImageTags">
    <vt:lpwstr/>
  </property>
</Properties>
</file>