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36860\IFRN\Documentos IFRN NC - COSGEM\COSGEM\ENGENHARIA\2024\8- Beach Soccer\"/>
    </mc:Choice>
  </mc:AlternateContent>
  <xr:revisionPtr revIDLastSave="18" documentId="13_ncr:1_{5671DB39-7426-457E-8AE7-174506725662}" xr6:coauthVersionLast="36" xr6:coauthVersionMax="36" xr10:uidLastSave="{E26D5243-E7FB-442D-92D7-1AF1B444DEB4}"/>
  <bookViews>
    <workbookView xWindow="-120" yWindow="-120" windowWidth="29040" windowHeight="15840" tabRatio="823" activeTab="2" xr2:uid="{00000000-000D-0000-FFFF-FFFF00000000}"/>
  </bookViews>
  <sheets>
    <sheet name="MEMÓRIA" sheetId="10" r:id="rId1"/>
    <sheet name="BDI" sheetId="22" r:id="rId2"/>
    <sheet name="SINAPI + BDI" sheetId="7" r:id="rId3"/>
    <sheet name="ADM" sheetId="23" r:id="rId4"/>
    <sheet name="CRONOGRAMA" sheetId="14" r:id="rId5"/>
    <sheet name="1ª Medição" sheetId="15" r:id="rId6"/>
    <sheet name="SIMEC" sheetId="16" r:id="rId7"/>
  </sheets>
  <externalReferences>
    <externalReference r:id="rId8"/>
    <externalReference r:id="rId9"/>
    <externalReference r:id="rId10"/>
    <externalReference r:id="rId11"/>
  </externalReferences>
  <definedNames>
    <definedName name="_0" localSheetId="3">#REF!</definedName>
    <definedName name="_0" localSheetId="1">#REF!</definedName>
    <definedName name="_0" localSheetId="4">#REF!</definedName>
    <definedName name="_0" localSheetId="0">#REF!</definedName>
    <definedName name="_0">#REF!</definedName>
    <definedName name="_MDO1">[1]INSUMOS!$C$8</definedName>
    <definedName name="_MDO2">[1]INSUMOS!$C$9</definedName>
    <definedName name="a" localSheetId="3">#REF!</definedName>
    <definedName name="a" localSheetId="1">#REF!</definedName>
    <definedName name="a" localSheetId="4">#REF!</definedName>
    <definedName name="a" localSheetId="0">#REF!</definedName>
    <definedName name="a">#REF!</definedName>
    <definedName name="COTAÇÕES" localSheetId="3">#REF!</definedName>
    <definedName name="COTAÇÕES" localSheetId="1">#REF!</definedName>
    <definedName name="COTAÇÕES" localSheetId="4">#REF!</definedName>
    <definedName name="COTAÇÕES" localSheetId="0">#REF!</definedName>
    <definedName name="COTAÇÕES">#REF!</definedName>
    <definedName name="Excel_BuiltIn_Print_Area_1" localSheetId="3">#REF!</definedName>
    <definedName name="Excel_BuiltIn_Print_Area_1" localSheetId="1">#REF!</definedName>
    <definedName name="Excel_BuiltIn_Print_Area_1" localSheetId="4">#REF!</definedName>
    <definedName name="Excel_BuiltIn_Print_Area_1" localSheetId="0">#REF!</definedName>
    <definedName name="Excel_BuiltIn_Print_Area_1">#REF!</definedName>
    <definedName name="TESTE" localSheetId="3">#REF!</definedName>
    <definedName name="TESTE" localSheetId="4">#REF!</definedName>
    <definedName name="TESTE" localSheetId="0">#REF!</definedName>
    <definedName name="TESTE">#REF!</definedName>
    <definedName name="_xlnm.Print_Titles" localSheetId="5">'1ª Medição'!$1:$10</definedName>
    <definedName name="_xlnm.Print_Titles" localSheetId="0">MEMÓRIA!$1:$11</definedName>
    <definedName name="_xlnm.Print_Titles" localSheetId="6">SIMEC!$1:$9</definedName>
  </definedNames>
  <calcPr calcId="191029"/>
</workbook>
</file>

<file path=xl/calcChain.xml><?xml version="1.0" encoding="utf-8"?>
<calcChain xmlns="http://schemas.openxmlformats.org/spreadsheetml/2006/main">
  <c r="C81" i="7" l="1"/>
  <c r="Q105" i="10"/>
  <c r="H94" i="10"/>
  <c r="E16" i="7" l="1"/>
  <c r="H407" i="10"/>
  <c r="B29" i="14" l="1"/>
  <c r="A29" i="14"/>
  <c r="G15" i="23"/>
  <c r="C84" i="7"/>
  <c r="C83" i="7"/>
  <c r="D57" i="10" l="1"/>
  <c r="H60" i="10"/>
  <c r="E21" i="7" s="1"/>
  <c r="G21" i="7"/>
  <c r="D21" i="7"/>
  <c r="C21" i="7"/>
  <c r="A21" i="7"/>
  <c r="I21" i="7" l="1"/>
  <c r="H21" i="7"/>
  <c r="A93" i="7"/>
  <c r="H42" i="10" l="1"/>
  <c r="H43" i="10"/>
  <c r="H36" i="10"/>
  <c r="H387" i="10" l="1"/>
  <c r="H238" i="10" l="1"/>
  <c r="H219" i="10"/>
  <c r="H199" i="10"/>
  <c r="H201" i="10" s="1"/>
  <c r="H198" i="10"/>
  <c r="H41" i="10"/>
  <c r="H40" i="10"/>
  <c r="H39" i="10"/>
  <c r="H38" i="10"/>
  <c r="H37" i="10"/>
  <c r="H45" i="10" l="1"/>
  <c r="H44" i="10"/>
  <c r="H155" i="10"/>
  <c r="H168" i="10" s="1"/>
  <c r="H156" i="10"/>
  <c r="H169" i="10" s="1"/>
  <c r="D83" i="10"/>
  <c r="N92" i="10"/>
  <c r="R92" i="10" s="1"/>
  <c r="P90" i="10"/>
  <c r="P94" i="10" s="1"/>
  <c r="H46" i="10" l="1"/>
  <c r="V91" i="10"/>
  <c r="H418" i="10"/>
  <c r="H422" i="10" s="1"/>
  <c r="E82" i="7" s="1"/>
  <c r="V92" i="10"/>
  <c r="H420" i="10"/>
  <c r="H419" i="10"/>
  <c r="G82" i="7"/>
  <c r="C82" i="7"/>
  <c r="D82" i="7"/>
  <c r="A82" i="7"/>
  <c r="H86" i="10"/>
  <c r="H176" i="10" s="1"/>
  <c r="H437" i="10"/>
  <c r="E85" i="7" s="1"/>
  <c r="H177" i="10" l="1"/>
  <c r="E27" i="7"/>
  <c r="I82" i="7"/>
  <c r="E16" i="23"/>
  <c r="C8" i="22"/>
  <c r="C4" i="22"/>
  <c r="C6" i="22"/>
  <c r="G16" i="23" l="1"/>
  <c r="H82" i="7"/>
  <c r="H181" i="10"/>
  <c r="D147" i="10"/>
  <c r="H126" i="10"/>
  <c r="H108" i="10"/>
  <c r="D50" i="10" l="1"/>
  <c r="D64" i="10" s="1"/>
  <c r="D70" i="10" s="1"/>
  <c r="H382" i="10"/>
  <c r="E76" i="7" s="1"/>
  <c r="G73" i="7"/>
  <c r="D73" i="7"/>
  <c r="C73" i="7"/>
  <c r="H373" i="10"/>
  <c r="H375" i="10" s="1"/>
  <c r="B6" i="23" l="1"/>
  <c r="B8" i="23"/>
  <c r="B4" i="23"/>
  <c r="E73" i="7" l="1"/>
  <c r="H73" i="7" s="1"/>
  <c r="A44" i="22"/>
  <c r="I73" i="7" l="1"/>
  <c r="G17" i="23"/>
  <c r="A30" i="23"/>
  <c r="G12" i="23"/>
  <c r="B12" i="23"/>
  <c r="A8" i="23"/>
  <c r="A6" i="23"/>
  <c r="A4" i="23"/>
  <c r="B2" i="23"/>
  <c r="B1" i="23"/>
  <c r="H19" i="22"/>
  <c r="H24" i="22" s="1"/>
  <c r="L8" i="10" s="1"/>
  <c r="G19" i="22"/>
  <c r="G24" i="22" s="1"/>
  <c r="L6" i="10" s="1"/>
  <c r="F19" i="22"/>
  <c r="F24" i="22" s="1"/>
  <c r="E19" i="22"/>
  <c r="E24" i="22" s="1"/>
  <c r="A12" i="22"/>
  <c r="A8" i="22"/>
  <c r="A6" i="22"/>
  <c r="A4" i="22"/>
  <c r="C2" i="22"/>
  <c r="C1" i="22"/>
  <c r="G18" i="23" l="1"/>
  <c r="G26" i="23" s="1"/>
  <c r="F16" i="7" s="1"/>
  <c r="H438" i="10"/>
  <c r="G85" i="7"/>
  <c r="G55" i="7"/>
  <c r="I55" i="7" s="1"/>
  <c r="H55" i="7"/>
  <c r="G56" i="7"/>
  <c r="I56" i="7" s="1"/>
  <c r="H56" i="7"/>
  <c r="G57" i="7"/>
  <c r="I57" i="7" s="1"/>
  <c r="H57" i="7"/>
  <c r="G58" i="7"/>
  <c r="I58" i="7" s="1"/>
  <c r="H58" i="7"/>
  <c r="G59" i="7"/>
  <c r="I59" i="7" s="1"/>
  <c r="H59" i="7"/>
  <c r="G60" i="7"/>
  <c r="I60" i="7" s="1"/>
  <c r="H60" i="7"/>
  <c r="G61" i="7"/>
  <c r="I61" i="7" s="1"/>
  <c r="H61" i="7"/>
  <c r="G53" i="7"/>
  <c r="I53" i="7" s="1"/>
  <c r="H54" i="7"/>
  <c r="G54" i="7"/>
  <c r="I54" i="7" s="1"/>
  <c r="G52" i="7"/>
  <c r="H52" i="7"/>
  <c r="H432" i="10"/>
  <c r="E84" i="7" s="1"/>
  <c r="H427" i="10"/>
  <c r="E83" i="7" s="1"/>
  <c r="I410" i="10"/>
  <c r="I411" i="10" s="1"/>
  <c r="G80" i="7"/>
  <c r="D86" i="7"/>
  <c r="D85" i="7"/>
  <c r="D84" i="7"/>
  <c r="D83" i="7"/>
  <c r="D81" i="7"/>
  <c r="D80" i="7"/>
  <c r="H399" i="10"/>
  <c r="H410" i="10" s="1"/>
  <c r="C86" i="7"/>
  <c r="C85" i="7"/>
  <c r="C80" i="7"/>
  <c r="A86" i="7"/>
  <c r="A85" i="7"/>
  <c r="A84" i="7"/>
  <c r="A83" i="7"/>
  <c r="A81" i="7"/>
  <c r="A80" i="7"/>
  <c r="G86" i="7"/>
  <c r="G84" i="7"/>
  <c r="G83" i="7"/>
  <c r="G81" i="7"/>
  <c r="C79" i="7"/>
  <c r="A79" i="7"/>
  <c r="I381" i="10"/>
  <c r="H442" i="10"/>
  <c r="H388" i="10"/>
  <c r="H390" i="10" s="1"/>
  <c r="D77" i="7"/>
  <c r="D76" i="7"/>
  <c r="C77" i="7"/>
  <c r="C76" i="7"/>
  <c r="A77" i="7"/>
  <c r="A76" i="7"/>
  <c r="C75" i="7"/>
  <c r="A75" i="7"/>
  <c r="G77" i="7"/>
  <c r="G76" i="7"/>
  <c r="D355" i="10"/>
  <c r="D353" i="10"/>
  <c r="D354" i="10"/>
  <c r="D364" i="10"/>
  <c r="D362" i="10"/>
  <c r="D363" i="10"/>
  <c r="I353" i="10"/>
  <c r="I354" i="10"/>
  <c r="I355" i="10"/>
  <c r="I352" i="10"/>
  <c r="I362" i="10"/>
  <c r="I363" i="10"/>
  <c r="I364" i="10"/>
  <c r="I359" i="10"/>
  <c r="H363" i="10"/>
  <c r="H359" i="10"/>
  <c r="H353" i="10"/>
  <c r="H354" i="10"/>
  <c r="I341" i="10"/>
  <c r="I361" i="10" s="1"/>
  <c r="I406" i="10" s="1"/>
  <c r="I340" i="10"/>
  <c r="I360" i="10" s="1"/>
  <c r="I405" i="10" s="1"/>
  <c r="D311" i="10"/>
  <c r="D341" i="10" s="1"/>
  <c r="D361" i="10" s="1"/>
  <c r="D406" i="10" s="1"/>
  <c r="D310" i="10"/>
  <c r="D340" i="10" s="1"/>
  <c r="D360" i="10" s="1"/>
  <c r="D405" i="10" s="1"/>
  <c r="H344" i="10"/>
  <c r="H364" i="10" s="1"/>
  <c r="H335" i="10"/>
  <c r="H355" i="10" s="1"/>
  <c r="D332" i="10"/>
  <c r="D352" i="10" s="1"/>
  <c r="I325" i="10"/>
  <c r="I320" i="10"/>
  <c r="I318" i="10"/>
  <c r="D318" i="10"/>
  <c r="G72" i="7"/>
  <c r="G71" i="7"/>
  <c r="D72" i="7"/>
  <c r="D71" i="7"/>
  <c r="D70" i="7"/>
  <c r="D69" i="7"/>
  <c r="C72" i="7"/>
  <c r="C71" i="7"/>
  <c r="C70" i="7"/>
  <c r="C69" i="7"/>
  <c r="A72" i="7"/>
  <c r="A71" i="7"/>
  <c r="A70" i="7"/>
  <c r="A69" i="7"/>
  <c r="C68" i="7"/>
  <c r="A68" i="7"/>
  <c r="D66" i="7"/>
  <c r="D65" i="7"/>
  <c r="D64" i="7"/>
  <c r="C66" i="7"/>
  <c r="C65" i="7"/>
  <c r="C64" i="7"/>
  <c r="A66" i="7"/>
  <c r="A65" i="7"/>
  <c r="A64" i="7"/>
  <c r="C63" i="7"/>
  <c r="A63" i="7"/>
  <c r="D49" i="7"/>
  <c r="C49" i="7"/>
  <c r="A49" i="7"/>
  <c r="C48" i="7"/>
  <c r="B26" i="14" s="1"/>
  <c r="A48" i="7"/>
  <c r="A26" i="14" s="1"/>
  <c r="D46" i="7"/>
  <c r="C46" i="7"/>
  <c r="A46" i="7"/>
  <c r="C45" i="7"/>
  <c r="B23" i="14" s="1"/>
  <c r="A45" i="7"/>
  <c r="A23" i="14" s="1"/>
  <c r="H202" i="10"/>
  <c r="D43" i="7"/>
  <c r="D42" i="7"/>
  <c r="D41" i="7"/>
  <c r="D40" i="7"/>
  <c r="D39" i="7"/>
  <c r="C40" i="7"/>
  <c r="C43" i="7"/>
  <c r="C42" i="7"/>
  <c r="C41" i="7"/>
  <c r="C39" i="7"/>
  <c r="A43" i="7"/>
  <c r="A42" i="7"/>
  <c r="A41" i="7"/>
  <c r="A40" i="7"/>
  <c r="A39" i="7"/>
  <c r="C38" i="7"/>
  <c r="B20" i="14" s="1"/>
  <c r="A38" i="7"/>
  <c r="A20" i="14" s="1"/>
  <c r="H109" i="10"/>
  <c r="H131" i="10"/>
  <c r="H120" i="10"/>
  <c r="H132" i="10" s="1"/>
  <c r="H119" i="10"/>
  <c r="H118" i="10"/>
  <c r="H130" i="10" s="1"/>
  <c r="D117" i="10"/>
  <c r="H101" i="10"/>
  <c r="H125" i="10" s="1"/>
  <c r="H100" i="10"/>
  <c r="H124" i="10" s="1"/>
  <c r="D108" i="10"/>
  <c r="H110" i="10"/>
  <c r="D110" i="10"/>
  <c r="D107" i="10"/>
  <c r="D109" i="10"/>
  <c r="H107" i="10"/>
  <c r="H95" i="10"/>
  <c r="C36" i="7"/>
  <c r="C35" i="7"/>
  <c r="C34" i="7"/>
  <c r="C33" i="7"/>
  <c r="C32" i="7"/>
  <c r="C31" i="7"/>
  <c r="C30" i="7"/>
  <c r="C29" i="7"/>
  <c r="C28" i="7"/>
  <c r="C27" i="7"/>
  <c r="D36" i="7"/>
  <c r="D35" i="7"/>
  <c r="D34" i="7"/>
  <c r="D33" i="7"/>
  <c r="D32" i="7"/>
  <c r="D31" i="7"/>
  <c r="D30" i="7"/>
  <c r="D29" i="7"/>
  <c r="D28" i="7"/>
  <c r="D27" i="7"/>
  <c r="A36" i="7"/>
  <c r="A35" i="7"/>
  <c r="A34" i="7"/>
  <c r="A33" i="7"/>
  <c r="A32" i="7"/>
  <c r="A31" i="7"/>
  <c r="A30" i="7"/>
  <c r="A29" i="7"/>
  <c r="A28" i="7"/>
  <c r="A27" i="7"/>
  <c r="G31" i="7"/>
  <c r="G32" i="7"/>
  <c r="G33" i="7"/>
  <c r="G34" i="7"/>
  <c r="G35" i="7"/>
  <c r="G36" i="7"/>
  <c r="G30" i="7"/>
  <c r="G29" i="7"/>
  <c r="G28" i="7"/>
  <c r="G27" i="7"/>
  <c r="C26" i="7"/>
  <c r="B17" i="14" s="1"/>
  <c r="A26" i="7"/>
  <c r="A17" i="14" s="1"/>
  <c r="H140" i="10" l="1"/>
  <c r="H147" i="10" s="1"/>
  <c r="H80" i="7"/>
  <c r="H276" i="10"/>
  <c r="H278" i="10" s="1"/>
  <c r="H311" i="10"/>
  <c r="H341" i="10" s="1"/>
  <c r="H361" i="10" s="1"/>
  <c r="H406" i="10" s="1"/>
  <c r="E77" i="7"/>
  <c r="H77" i="7" s="1"/>
  <c r="E28" i="7"/>
  <c r="I28" i="7" s="1"/>
  <c r="H411" i="10"/>
  <c r="I52" i="7"/>
  <c r="I51" i="7" s="1"/>
  <c r="D29" i="14" s="1"/>
  <c r="H53" i="7"/>
  <c r="H76" i="7"/>
  <c r="D325" i="10"/>
  <c r="I83" i="7"/>
  <c r="H85" i="7"/>
  <c r="H83" i="7"/>
  <c r="D339" i="10"/>
  <c r="D359" i="10" s="1"/>
  <c r="H211" i="10"/>
  <c r="H230" i="10" s="1"/>
  <c r="H249" i="10" s="1"/>
  <c r="H268" i="10" s="1"/>
  <c r="H332" i="10" s="1"/>
  <c r="H352" i="10" s="1"/>
  <c r="H356" i="10" s="1"/>
  <c r="H127" i="10"/>
  <c r="H111" i="10"/>
  <c r="H133" i="10"/>
  <c r="H104" i="10"/>
  <c r="E19" i="7"/>
  <c r="D24" i="7"/>
  <c r="D23" i="7"/>
  <c r="D22" i="7"/>
  <c r="D20" i="7"/>
  <c r="D19" i="7"/>
  <c r="D18" i="7"/>
  <c r="D17" i="7"/>
  <c r="D16" i="7"/>
  <c r="C24" i="7"/>
  <c r="C23" i="7"/>
  <c r="C22" i="7"/>
  <c r="C20" i="7"/>
  <c r="C19" i="7"/>
  <c r="C18" i="7"/>
  <c r="C17" i="7"/>
  <c r="C16" i="7"/>
  <c r="A24" i="7"/>
  <c r="G24" i="7"/>
  <c r="A23" i="7"/>
  <c r="A22" i="7"/>
  <c r="A20" i="7"/>
  <c r="A19" i="7"/>
  <c r="A18" i="7"/>
  <c r="L392" i="10"/>
  <c r="L377" i="10"/>
  <c r="L314" i="10"/>
  <c r="I304" i="10"/>
  <c r="I303" i="10"/>
  <c r="H303" i="10"/>
  <c r="D302" i="10"/>
  <c r="I297" i="10"/>
  <c r="I295" i="10"/>
  <c r="D295" i="10"/>
  <c r="L291" i="10"/>
  <c r="I287" i="10"/>
  <c r="I302" i="10" s="1"/>
  <c r="D287" i="10"/>
  <c r="H260" i="10"/>
  <c r="E42" i="7" s="1"/>
  <c r="L29" i="14" l="1"/>
  <c r="K29" i="14"/>
  <c r="J29" i="14"/>
  <c r="I80" i="7"/>
  <c r="H28" i="7"/>
  <c r="H310" i="10"/>
  <c r="H312" i="10" s="1"/>
  <c r="H170" i="10"/>
  <c r="E34" i="7" s="1"/>
  <c r="H34" i="7" s="1"/>
  <c r="I77" i="7"/>
  <c r="I27" i="7"/>
  <c r="H183" i="10"/>
  <c r="I84" i="7"/>
  <c r="I76" i="7"/>
  <c r="I75" i="7" s="1"/>
  <c r="H84" i="7"/>
  <c r="I85" i="7"/>
  <c r="H269" i="10"/>
  <c r="E43" i="7" s="1"/>
  <c r="H336" i="10"/>
  <c r="H157" i="10"/>
  <c r="H275" i="10"/>
  <c r="H113" i="10"/>
  <c r="H141" i="10" s="1"/>
  <c r="I34" i="7" l="1"/>
  <c r="E66" i="7"/>
  <c r="H340" i="10"/>
  <c r="H342" i="10" s="1"/>
  <c r="H362" i="10" s="1"/>
  <c r="E35" i="7"/>
  <c r="I35" i="7" s="1"/>
  <c r="H188" i="10"/>
  <c r="H189" i="10" s="1"/>
  <c r="E36" i="7" s="1"/>
  <c r="I36" i="7" s="1"/>
  <c r="H27" i="7"/>
  <c r="E29" i="7"/>
  <c r="I29" i="7" s="1"/>
  <c r="H277" i="10"/>
  <c r="H279" i="10" s="1"/>
  <c r="H142" i="10"/>
  <c r="H148" i="10"/>
  <c r="H205" i="10"/>
  <c r="H207" i="10" s="1"/>
  <c r="H210" i="10" s="1"/>
  <c r="H212" i="10" s="1"/>
  <c r="H240" i="10"/>
  <c r="H243" i="10" s="1"/>
  <c r="H245" i="10" s="1"/>
  <c r="H248" i="10" s="1"/>
  <c r="H221" i="10"/>
  <c r="H224" i="10" s="1"/>
  <c r="H226" i="10" s="1"/>
  <c r="H229" i="10" s="1"/>
  <c r="H149" i="10" l="1"/>
  <c r="E32" i="7" s="1"/>
  <c r="H360" i="10"/>
  <c r="H405" i="10" s="1"/>
  <c r="H413" i="10" s="1"/>
  <c r="E81" i="7" s="1"/>
  <c r="H281" i="10"/>
  <c r="H35" i="7"/>
  <c r="H36" i="7"/>
  <c r="E31" i="7"/>
  <c r="H31" i="7" s="1"/>
  <c r="H250" i="10"/>
  <c r="H252" i="10" s="1"/>
  <c r="E41" i="7" s="1"/>
  <c r="H29" i="7"/>
  <c r="H214" i="10"/>
  <c r="E39" i="7" s="1"/>
  <c r="H231" i="10"/>
  <c r="H233" i="10" s="1"/>
  <c r="E40" i="7" s="1"/>
  <c r="H78" i="10"/>
  <c r="E24" i="7" s="1"/>
  <c r="H72" i="10"/>
  <c r="E23" i="7" s="1"/>
  <c r="H66" i="10"/>
  <c r="E22" i="7" s="1"/>
  <c r="H53" i="10"/>
  <c r="E20" i="7" s="1"/>
  <c r="H30" i="10"/>
  <c r="H29" i="10"/>
  <c r="H23" i="10"/>
  <c r="E17" i="7" s="1"/>
  <c r="H17" i="10"/>
  <c r="H160" i="10" l="1"/>
  <c r="H161" i="10" s="1"/>
  <c r="I31" i="7"/>
  <c r="E46" i="7"/>
  <c r="H287" i="10"/>
  <c r="H295" i="10" s="1"/>
  <c r="H32" i="7"/>
  <c r="I32" i="7"/>
  <c r="H365" i="10"/>
  <c r="H367" i="10" s="1"/>
  <c r="E72" i="7" s="1"/>
  <c r="H345" i="10"/>
  <c r="H347" i="10" s="1"/>
  <c r="E71" i="7" s="1"/>
  <c r="H24" i="7"/>
  <c r="H121" i="10"/>
  <c r="H31" i="10"/>
  <c r="E18" i="7" s="1"/>
  <c r="H163" i="10" l="1"/>
  <c r="E33" i="7" s="1"/>
  <c r="H135" i="10"/>
  <c r="E30" i="7" s="1"/>
  <c r="H289" i="10"/>
  <c r="E49" i="7" s="1"/>
  <c r="H302" i="10"/>
  <c r="H304" i="10" s="1"/>
  <c r="E65" i="7" s="1"/>
  <c r="H72" i="7"/>
  <c r="I72" i="7"/>
  <c r="I71" i="7"/>
  <c r="H71" i="7"/>
  <c r="I24" i="7"/>
  <c r="I81" i="7"/>
  <c r="H81" i="7"/>
  <c r="H318" i="10"/>
  <c r="H297" i="10"/>
  <c r="E64" i="7" s="1"/>
  <c r="F26" i="16"/>
  <c r="F25" i="16"/>
  <c r="I33" i="7" l="1"/>
  <c r="H33" i="7"/>
  <c r="I30" i="7"/>
  <c r="H30" i="7"/>
  <c r="H320" i="10"/>
  <c r="E69" i="7" s="1"/>
  <c r="H325" i="10"/>
  <c r="H327" i="10" s="1"/>
  <c r="E70" i="7" s="1"/>
  <c r="I26" i="7" l="1"/>
  <c r="D17" i="14" s="1"/>
  <c r="F11" i="16" l="1"/>
  <c r="F10" i="16"/>
  <c r="E55" i="15" l="1"/>
  <c r="G55" i="15"/>
  <c r="G58" i="15"/>
  <c r="G59" i="15"/>
  <c r="G62" i="15"/>
  <c r="G65" i="15"/>
  <c r="G66" i="15"/>
  <c r="G67" i="15"/>
  <c r="G68" i="15"/>
  <c r="E24" i="15"/>
  <c r="G24" i="15"/>
  <c r="G25" i="15"/>
  <c r="G26" i="15"/>
  <c r="G27" i="15"/>
  <c r="E28" i="15"/>
  <c r="G28" i="15"/>
  <c r="E31" i="15"/>
  <c r="G31" i="15"/>
  <c r="E32" i="15"/>
  <c r="G32" i="15"/>
  <c r="G33" i="15"/>
  <c r="G36" i="15"/>
  <c r="G37" i="15"/>
  <c r="E38" i="15"/>
  <c r="G38" i="15"/>
  <c r="G39" i="15"/>
  <c r="E40" i="15"/>
  <c r="G40" i="15"/>
  <c r="G47" i="15"/>
  <c r="G50" i="15"/>
  <c r="G51" i="15"/>
  <c r="E52" i="15"/>
  <c r="G52" i="15"/>
  <c r="E53" i="15"/>
  <c r="G53" i="15"/>
  <c r="E54" i="15"/>
  <c r="G54" i="15"/>
  <c r="E15" i="15"/>
  <c r="F15" i="15" s="1"/>
  <c r="E17" i="15"/>
  <c r="F17" i="15" s="1"/>
  <c r="G17" i="15" s="1"/>
  <c r="E18" i="15"/>
  <c r="F18" i="15" s="1"/>
  <c r="G18" i="15" s="1"/>
  <c r="G21" i="15"/>
  <c r="H32" i="15" l="1"/>
  <c r="H18" i="15"/>
  <c r="H38" i="15"/>
  <c r="H55" i="15"/>
  <c r="H54" i="15"/>
  <c r="H52" i="15"/>
  <c r="H17" i="15"/>
  <c r="H53" i="15"/>
  <c r="H31" i="15"/>
  <c r="H40" i="15"/>
  <c r="H28" i="15"/>
  <c r="H24" i="15"/>
  <c r="E50" i="16"/>
  <c r="E49" i="16"/>
  <c r="E48" i="16"/>
  <c r="E47" i="16"/>
  <c r="E46" i="16"/>
  <c r="E45" i="16"/>
  <c r="E44" i="16"/>
  <c r="E43" i="16"/>
  <c r="E42" i="16"/>
  <c r="F40" i="16"/>
  <c r="F39" i="16"/>
  <c r="E36" i="16"/>
  <c r="E35" i="16"/>
  <c r="E34" i="16"/>
  <c r="E33" i="16"/>
  <c r="E32" i="16"/>
  <c r="E31" i="16"/>
  <c r="E30" i="16"/>
  <c r="E29" i="16"/>
  <c r="E28" i="16"/>
  <c r="A6" i="16"/>
  <c r="A4" i="16"/>
  <c r="A2" i="16"/>
  <c r="G15" i="15"/>
  <c r="A3" i="15"/>
  <c r="H15" i="15" l="1"/>
  <c r="E37" i="16"/>
  <c r="E51" i="16"/>
  <c r="C8" i="14"/>
  <c r="C6" i="14"/>
  <c r="C4" i="14"/>
  <c r="A8" i="14"/>
  <c r="A6" i="14"/>
  <c r="A4" i="14"/>
  <c r="C6" i="7"/>
  <c r="C4" i="7"/>
  <c r="A6" i="7"/>
  <c r="A4" i="7"/>
  <c r="C8" i="7"/>
  <c r="B6" i="15" l="1"/>
  <c r="B62" i="15" l="1"/>
  <c r="B37" i="15"/>
  <c r="B33" i="15"/>
  <c r="A51" i="14"/>
  <c r="H444" i="10" l="1"/>
  <c r="E86" i="7" s="1"/>
  <c r="H86" i="7" l="1"/>
  <c r="I86" i="7"/>
  <c r="I79" i="7" s="1"/>
  <c r="H46" i="7"/>
  <c r="E66" i="15"/>
  <c r="H66" i="15" s="1"/>
  <c r="E67" i="15"/>
  <c r="H67" i="15" s="1"/>
  <c r="E39" i="15"/>
  <c r="H39" i="15" s="1"/>
  <c r="C53" i="15"/>
  <c r="A58" i="15"/>
  <c r="B65" i="15"/>
  <c r="B36" i="15"/>
  <c r="A39" i="15"/>
  <c r="A40" i="15"/>
  <c r="A41" i="15"/>
  <c r="B47" i="15"/>
  <c r="B49" i="15"/>
  <c r="C51" i="15"/>
  <c r="C54" i="15"/>
  <c r="A59" i="15"/>
  <c r="C59" i="15"/>
  <c r="C62" i="15"/>
  <c r="B64" i="15"/>
  <c r="B66" i="15"/>
  <c r="B68" i="15"/>
  <c r="C38" i="15"/>
  <c r="A49" i="15"/>
  <c r="B51" i="15"/>
  <c r="C52" i="15"/>
  <c r="B54" i="15"/>
  <c r="C55" i="15"/>
  <c r="C58" i="15"/>
  <c r="A64" i="15"/>
  <c r="B67" i="15"/>
  <c r="A38" i="15"/>
  <c r="B39" i="15"/>
  <c r="B40" i="15"/>
  <c r="B41" i="15"/>
  <c r="A44" i="15"/>
  <c r="C47" i="15"/>
  <c r="A50" i="15"/>
  <c r="A52" i="15"/>
  <c r="A53" i="15"/>
  <c r="A55" i="15"/>
  <c r="B58" i="15"/>
  <c r="A65" i="15"/>
  <c r="C66" i="15"/>
  <c r="A67" i="15"/>
  <c r="C67" i="15"/>
  <c r="C37" i="15"/>
  <c r="C44" i="15"/>
  <c r="A47" i="15"/>
  <c r="C50" i="15"/>
  <c r="A62" i="15"/>
  <c r="A66" i="15"/>
  <c r="A37" i="15"/>
  <c r="B38" i="15"/>
  <c r="C39" i="15"/>
  <c r="C40" i="15"/>
  <c r="C41" i="15"/>
  <c r="B44" i="15"/>
  <c r="B50" i="15"/>
  <c r="A51" i="15"/>
  <c r="B52" i="15"/>
  <c r="B53" i="15"/>
  <c r="A54" i="15"/>
  <c r="B55" i="15"/>
  <c r="B59" i="15"/>
  <c r="C65" i="15"/>
  <c r="A68" i="15"/>
  <c r="C68" i="15"/>
  <c r="A46" i="15"/>
  <c r="A38" i="14"/>
  <c r="A61" i="15"/>
  <c r="B38" i="14"/>
  <c r="B61" i="15"/>
  <c r="A43" i="15"/>
  <c r="A35" i="14"/>
  <c r="A57" i="15"/>
  <c r="B46" i="15"/>
  <c r="B35" i="14"/>
  <c r="B57" i="15"/>
  <c r="B43" i="15"/>
  <c r="B32" i="14"/>
  <c r="A41" i="14"/>
  <c r="A32" i="14"/>
  <c r="B41" i="14"/>
  <c r="H42" i="7"/>
  <c r="E62" i="15" l="1"/>
  <c r="H62" i="15" s="1"/>
  <c r="E50" i="15"/>
  <c r="H50" i="15" s="1"/>
  <c r="E59" i="15"/>
  <c r="H59" i="15" s="1"/>
  <c r="E58" i="15"/>
  <c r="H58" i="15" s="1"/>
  <c r="E44" i="15"/>
  <c r="E37" i="15"/>
  <c r="H37" i="15" s="1"/>
  <c r="E47" i="15"/>
  <c r="H47" i="15" s="1"/>
  <c r="H49" i="7"/>
  <c r="A17" i="16"/>
  <c r="A32" i="16" s="1"/>
  <c r="A46" i="16" s="1"/>
  <c r="B17" i="16"/>
  <c r="B32" i="16" s="1"/>
  <c r="B46" i="16" s="1"/>
  <c r="B18" i="16"/>
  <c r="B33" i="16" s="1"/>
  <c r="B47" i="16" s="1"/>
  <c r="A21" i="16"/>
  <c r="B20" i="16"/>
  <c r="B35" i="16" s="1"/>
  <c r="B49" i="16" s="1"/>
  <c r="A20" i="16"/>
  <c r="A35" i="16" s="1"/>
  <c r="A49" i="16" s="1"/>
  <c r="B21" i="16"/>
  <c r="A18" i="16"/>
  <c r="A33" i="16" s="1"/>
  <c r="A47" i="16" s="1"/>
  <c r="A22" i="16"/>
  <c r="A36" i="16" s="1"/>
  <c r="A50" i="16" s="1"/>
  <c r="A19" i="16"/>
  <c r="A34" i="16" s="1"/>
  <c r="A48" i="16" s="1"/>
  <c r="B22" i="16"/>
  <c r="B36" i="16" s="1"/>
  <c r="B50" i="16" s="1"/>
  <c r="B19" i="16"/>
  <c r="B34" i="16" s="1"/>
  <c r="B48" i="16" s="1"/>
  <c r="H69" i="7"/>
  <c r="H70" i="7"/>
  <c r="E51" i="15" l="1"/>
  <c r="H51" i="15" s="1"/>
  <c r="F44" i="15"/>
  <c r="G44" i="15" s="1"/>
  <c r="H66" i="7"/>
  <c r="H65" i="7"/>
  <c r="H64" i="7"/>
  <c r="H44" i="15" l="1"/>
  <c r="H39" i="7"/>
  <c r="A16" i="7"/>
  <c r="E21" i="15" l="1"/>
  <c r="H21" i="15" s="1"/>
  <c r="E26" i="15"/>
  <c r="H26" i="15" s="1"/>
  <c r="H22" i="7"/>
  <c r="E19" i="15"/>
  <c r="C13" i="15"/>
  <c r="B20" i="15"/>
  <c r="A21" i="15"/>
  <c r="A23" i="15"/>
  <c r="C25" i="15"/>
  <c r="B28" i="15"/>
  <c r="C32" i="15"/>
  <c r="B18" i="15"/>
  <c r="B21" i="15"/>
  <c r="C24" i="15"/>
  <c r="C28" i="15"/>
  <c r="C33" i="15"/>
  <c r="A36" i="15"/>
  <c r="B14" i="15"/>
  <c r="B17" i="15"/>
  <c r="C18" i="15"/>
  <c r="C21" i="15"/>
  <c r="A24" i="15"/>
  <c r="A25" i="15"/>
  <c r="A26" i="15"/>
  <c r="A27" i="15"/>
  <c r="B31" i="15"/>
  <c r="A33" i="15"/>
  <c r="A30" i="15"/>
  <c r="C36" i="15"/>
  <c r="B15" i="15"/>
  <c r="B19" i="15"/>
  <c r="B24" i="15"/>
  <c r="C26" i="15"/>
  <c r="C27" i="15"/>
  <c r="A31" i="15"/>
  <c r="B35" i="15"/>
  <c r="C15" i="15"/>
  <c r="A17" i="15"/>
  <c r="C19" i="15"/>
  <c r="C20" i="15"/>
  <c r="B23" i="15"/>
  <c r="A32" i="15"/>
  <c r="B30" i="15"/>
  <c r="A13" i="15"/>
  <c r="B16" i="15"/>
  <c r="B13" i="15"/>
  <c r="C14" i="15"/>
  <c r="C16" i="15"/>
  <c r="C17" i="15"/>
  <c r="A20" i="15"/>
  <c r="B25" i="15"/>
  <c r="B26" i="15"/>
  <c r="B27" i="15"/>
  <c r="A28" i="15"/>
  <c r="B32" i="15"/>
  <c r="C31" i="15"/>
  <c r="A35" i="15"/>
  <c r="H20" i="7"/>
  <c r="F19" i="15" l="1"/>
  <c r="G19" i="15" s="1"/>
  <c r="E20" i="15"/>
  <c r="E33" i="15"/>
  <c r="H33" i="15" s="1"/>
  <c r="H40" i="7"/>
  <c r="E25" i="15"/>
  <c r="H25" i="15" s="1"/>
  <c r="E13" i="15"/>
  <c r="H16" i="7"/>
  <c r="B16" i="16"/>
  <c r="B31" i="16" s="1"/>
  <c r="B45" i="16" s="1"/>
  <c r="A15" i="16"/>
  <c r="A30" i="16" s="1"/>
  <c r="A44" i="16" s="1"/>
  <c r="A14" i="16"/>
  <c r="A29" i="16" s="1"/>
  <c r="A43" i="16" s="1"/>
  <c r="A16" i="16"/>
  <c r="A31" i="16" s="1"/>
  <c r="A45" i="16" s="1"/>
  <c r="B15" i="16"/>
  <c r="B30" i="16" s="1"/>
  <c r="B44" i="16" s="1"/>
  <c r="B14" i="16"/>
  <c r="B29" i="16" s="1"/>
  <c r="B43" i="16" s="1"/>
  <c r="H19" i="15" l="1"/>
  <c r="F13" i="15"/>
  <c r="G13" i="15" s="1"/>
  <c r="F20" i="15"/>
  <c r="G20" i="15" s="1"/>
  <c r="E36" i="15"/>
  <c r="H36" i="15" s="1"/>
  <c r="H41" i="7"/>
  <c r="H13" i="15" l="1"/>
  <c r="H20" i="15"/>
  <c r="C15" i="7"/>
  <c r="B14" i="14" s="1"/>
  <c r="A15" i="7"/>
  <c r="A14" i="14" s="1"/>
  <c r="E65" i="15" l="1"/>
  <c r="H65" i="15" s="1"/>
  <c r="A12" i="15"/>
  <c r="B12" i="15"/>
  <c r="E41" i="15" l="1"/>
  <c r="B13" i="16"/>
  <c r="B28" i="16" s="1"/>
  <c r="B42" i="16" s="1"/>
  <c r="A13" i="16"/>
  <c r="A28" i="16" s="1"/>
  <c r="A42" i="16" s="1"/>
  <c r="H43" i="7"/>
  <c r="F41" i="15" l="1"/>
  <c r="G41" i="15" s="1"/>
  <c r="H41" i="15" l="1"/>
  <c r="A17" i="7"/>
  <c r="A18" i="15" l="1"/>
  <c r="A19" i="15"/>
  <c r="A16" i="15"/>
  <c r="A15" i="15"/>
  <c r="A14" i="15"/>
  <c r="E14" i="15" l="1"/>
  <c r="E16" i="15"/>
  <c r="H19" i="7"/>
  <c r="H17" i="7"/>
  <c r="F16" i="15" l="1"/>
  <c r="G16" i="15" s="1"/>
  <c r="F14" i="15"/>
  <c r="G14" i="15" s="1"/>
  <c r="E27" i="15"/>
  <c r="H27" i="15" s="1"/>
  <c r="H18" i="7"/>
  <c r="H16" i="15" l="1"/>
  <c r="E68" i="15"/>
  <c r="H68" i="15" s="1"/>
  <c r="H14" i="15"/>
  <c r="H23" i="7" l="1"/>
  <c r="G70" i="7" l="1"/>
  <c r="G65" i="7"/>
  <c r="G46" i="7"/>
  <c r="G69" i="7"/>
  <c r="G43" i="7"/>
  <c r="G42" i="7"/>
  <c r="G66" i="7"/>
  <c r="G41" i="7"/>
  <c r="G64" i="7"/>
  <c r="G49" i="7"/>
  <c r="G22" i="7"/>
  <c r="G17" i="7"/>
  <c r="G18" i="7"/>
  <c r="G19" i="7"/>
  <c r="G16" i="7"/>
  <c r="G40" i="7"/>
  <c r="G39" i="7"/>
  <c r="G20" i="7"/>
  <c r="G23" i="7"/>
  <c r="D66" i="15" l="1"/>
  <c r="D65" i="15"/>
  <c r="D68" i="15"/>
  <c r="D38" i="14"/>
  <c r="D62" i="15"/>
  <c r="D67" i="15"/>
  <c r="D24" i="15"/>
  <c r="D26" i="15"/>
  <c r="D37" i="15"/>
  <c r="I46" i="7"/>
  <c r="D44" i="15"/>
  <c r="D55" i="15"/>
  <c r="D52" i="15"/>
  <c r="I39" i="7"/>
  <c r="D31" i="15"/>
  <c r="D25" i="15"/>
  <c r="D27" i="15"/>
  <c r="I64" i="7"/>
  <c r="D50" i="15"/>
  <c r="D53" i="15"/>
  <c r="I69" i="7"/>
  <c r="D58" i="15"/>
  <c r="I70" i="7"/>
  <c r="D59" i="15"/>
  <c r="D28" i="15"/>
  <c r="D32" i="15"/>
  <c r="I49" i="7"/>
  <c r="I48" i="7" s="1"/>
  <c r="D26" i="14" s="1"/>
  <c r="I26" i="14" s="1"/>
  <c r="D47" i="15"/>
  <c r="I43" i="7"/>
  <c r="D41" i="15"/>
  <c r="I40" i="7"/>
  <c r="D33" i="15"/>
  <c r="I66" i="7"/>
  <c r="D54" i="15"/>
  <c r="I65" i="7"/>
  <c r="D51" i="15"/>
  <c r="D40" i="15"/>
  <c r="I41" i="7"/>
  <c r="D36" i="15"/>
  <c r="I42" i="7"/>
  <c r="D39" i="15"/>
  <c r="D38" i="15"/>
  <c r="I18" i="7"/>
  <c r="D15" i="15"/>
  <c r="I22" i="7"/>
  <c r="D20" i="15"/>
  <c r="I23" i="7"/>
  <c r="D21" i="15"/>
  <c r="I16" i="7"/>
  <c r="D13" i="15"/>
  <c r="D18" i="15"/>
  <c r="I20" i="7"/>
  <c r="D19" i="15"/>
  <c r="D17" i="15"/>
  <c r="I19" i="7"/>
  <c r="D16" i="15"/>
  <c r="I17" i="7"/>
  <c r="D14" i="15"/>
  <c r="K38" i="14" l="1"/>
  <c r="L38" i="14"/>
  <c r="J38" i="14"/>
  <c r="I68" i="7"/>
  <c r="D35" i="14" s="1"/>
  <c r="K35" i="14" s="1"/>
  <c r="I38" i="7"/>
  <c r="D20" i="14" s="1"/>
  <c r="I45" i="7"/>
  <c r="D23" i="14" s="1"/>
  <c r="H23" i="14" s="1"/>
  <c r="I15" i="7"/>
  <c r="D14" i="14" s="1"/>
  <c r="J14" i="15"/>
  <c r="K14" i="15"/>
  <c r="J17" i="15"/>
  <c r="K17" i="15"/>
  <c r="J21" i="15"/>
  <c r="K21" i="15"/>
  <c r="J39" i="15"/>
  <c r="K39" i="15"/>
  <c r="J54" i="15"/>
  <c r="K54" i="15"/>
  <c r="L32" i="15"/>
  <c r="J32" i="15"/>
  <c r="K32" i="15"/>
  <c r="J53" i="15"/>
  <c r="K53" i="15"/>
  <c r="J31" i="15"/>
  <c r="K31" i="15"/>
  <c r="J55" i="15"/>
  <c r="K55" i="15"/>
  <c r="J24" i="15"/>
  <c r="K24" i="15"/>
  <c r="J62" i="15"/>
  <c r="J61" i="15" s="1"/>
  <c r="E21" i="16" s="1"/>
  <c r="K62" i="15"/>
  <c r="K61" i="15" s="1"/>
  <c r="J16" i="15"/>
  <c r="K16" i="15"/>
  <c r="J19" i="15"/>
  <c r="K19" i="15"/>
  <c r="J13" i="15"/>
  <c r="I13" i="15"/>
  <c r="K13" i="15"/>
  <c r="J20" i="15"/>
  <c r="K20" i="15"/>
  <c r="J38" i="15"/>
  <c r="K38" i="15"/>
  <c r="J36" i="15"/>
  <c r="K36" i="15"/>
  <c r="J51" i="15"/>
  <c r="K51" i="15"/>
  <c r="L33" i="15"/>
  <c r="J33" i="15"/>
  <c r="K33" i="15"/>
  <c r="J47" i="15"/>
  <c r="J46" i="15" s="1"/>
  <c r="E18" i="16" s="1"/>
  <c r="K47" i="15"/>
  <c r="K46" i="15" s="1"/>
  <c r="J28" i="15"/>
  <c r="K28" i="15"/>
  <c r="J58" i="15"/>
  <c r="K58" i="15"/>
  <c r="J50" i="15"/>
  <c r="K50" i="15"/>
  <c r="J25" i="15"/>
  <c r="K25" i="15"/>
  <c r="J52" i="15"/>
  <c r="K52" i="15"/>
  <c r="J44" i="15"/>
  <c r="K44" i="15"/>
  <c r="K43" i="15" s="1"/>
  <c r="J26" i="15"/>
  <c r="K26" i="15"/>
  <c r="J67" i="15"/>
  <c r="K67" i="15"/>
  <c r="J68" i="15"/>
  <c r="K68" i="15"/>
  <c r="J66" i="15"/>
  <c r="K66" i="15"/>
  <c r="J18" i="15"/>
  <c r="K18" i="15"/>
  <c r="J15" i="15"/>
  <c r="K15" i="15"/>
  <c r="J40" i="15"/>
  <c r="K40" i="15"/>
  <c r="K41" i="15"/>
  <c r="J41" i="15"/>
  <c r="J59" i="15"/>
  <c r="K59" i="15"/>
  <c r="J27" i="15"/>
  <c r="K27" i="15"/>
  <c r="J37" i="15"/>
  <c r="K37" i="15"/>
  <c r="J65" i="15"/>
  <c r="K65" i="15"/>
  <c r="L14" i="15"/>
  <c r="I14" i="15"/>
  <c r="I25" i="15"/>
  <c r="L25" i="15"/>
  <c r="L67" i="15"/>
  <c r="I67" i="15"/>
  <c r="I53" i="15"/>
  <c r="L53" i="15"/>
  <c r="L20" i="15"/>
  <c r="I20" i="15"/>
  <c r="I62" i="15"/>
  <c r="L62" i="15"/>
  <c r="L21" i="15"/>
  <c r="I21" i="15"/>
  <c r="I54" i="15"/>
  <c r="L54" i="15"/>
  <c r="L41" i="15"/>
  <c r="I41" i="15"/>
  <c r="I27" i="15"/>
  <c r="L27" i="15"/>
  <c r="L16" i="15"/>
  <c r="I16" i="15"/>
  <c r="I47" i="15"/>
  <c r="L47" i="15"/>
  <c r="L28" i="15"/>
  <c r="I28" i="15"/>
  <c r="I52" i="15"/>
  <c r="L52" i="15"/>
  <c r="L68" i="15"/>
  <c r="I68" i="15"/>
  <c r="L37" i="15"/>
  <c r="I37" i="15"/>
  <c r="I50" i="15"/>
  <c r="L50" i="15"/>
  <c r="L15" i="15"/>
  <c r="I15" i="15"/>
  <c r="I24" i="15"/>
  <c r="L24" i="15"/>
  <c r="I31" i="15"/>
  <c r="L31" i="15"/>
  <c r="L17" i="15"/>
  <c r="I17" i="15"/>
  <c r="L19" i="15"/>
  <c r="I19" i="15"/>
  <c r="L18" i="15"/>
  <c r="I18" i="15"/>
  <c r="L40" i="15"/>
  <c r="I40" i="15"/>
  <c r="I59" i="15"/>
  <c r="L59" i="15"/>
  <c r="I55" i="15"/>
  <c r="L55" i="15"/>
  <c r="L65" i="15"/>
  <c r="I65" i="15"/>
  <c r="I26" i="15"/>
  <c r="L26" i="15"/>
  <c r="L39" i="15"/>
  <c r="I39" i="15"/>
  <c r="L36" i="15"/>
  <c r="I36" i="15"/>
  <c r="L13" i="15"/>
  <c r="I51" i="15"/>
  <c r="L51" i="15"/>
  <c r="L58" i="15"/>
  <c r="I58" i="15"/>
  <c r="L44" i="15"/>
  <c r="I44" i="15"/>
  <c r="L66" i="15"/>
  <c r="I66" i="15"/>
  <c r="L38" i="15"/>
  <c r="I38" i="15"/>
  <c r="D41" i="14"/>
  <c r="I63" i="7"/>
  <c r="D32" i="14" s="1"/>
  <c r="I33" i="15"/>
  <c r="I32" i="15"/>
  <c r="H32" i="14" l="1"/>
  <c r="I32" i="14"/>
  <c r="L27" i="14"/>
  <c r="I14" i="14"/>
  <c r="I18" i="14"/>
  <c r="F14" i="14"/>
  <c r="L14" i="14"/>
  <c r="L24" i="14"/>
  <c r="H14" i="14"/>
  <c r="J18" i="14"/>
  <c r="K18" i="14"/>
  <c r="L18" i="14"/>
  <c r="J14" i="14"/>
  <c r="K14" i="14"/>
  <c r="G14" i="14"/>
  <c r="L21" i="14"/>
  <c r="J21" i="14"/>
  <c r="I39" i="14"/>
  <c r="H39" i="14"/>
  <c r="K21" i="14"/>
  <c r="I21" i="14"/>
  <c r="G20" i="14"/>
  <c r="H20" i="14"/>
  <c r="K41" i="14"/>
  <c r="J41" i="14"/>
  <c r="L41" i="14"/>
  <c r="I45" i="14"/>
  <c r="I88" i="7"/>
  <c r="G18" i="16"/>
  <c r="G21" i="16"/>
  <c r="K30" i="15"/>
  <c r="K35" i="15"/>
  <c r="K49" i="15"/>
  <c r="K57" i="15"/>
  <c r="K12" i="15"/>
  <c r="J23" i="15"/>
  <c r="E14" i="16" s="1"/>
  <c r="J57" i="15"/>
  <c r="E20" i="16" s="1"/>
  <c r="K64" i="15"/>
  <c r="K23" i="15"/>
  <c r="J64" i="15"/>
  <c r="E22" i="16" s="1"/>
  <c r="J49" i="15"/>
  <c r="E19" i="16" s="1"/>
  <c r="J12" i="15"/>
  <c r="E13" i="16" s="1"/>
  <c r="J30" i="15"/>
  <c r="E15" i="16" s="1"/>
  <c r="J35" i="15"/>
  <c r="E16" i="16" s="1"/>
  <c r="J43" i="15"/>
  <c r="E17" i="16" s="1"/>
  <c r="L12" i="15"/>
  <c r="I61" i="15"/>
  <c r="I64" i="15"/>
  <c r="C22" i="16" s="1"/>
  <c r="I46" i="15"/>
  <c r="I43" i="15"/>
  <c r="I57" i="15"/>
  <c r="I23" i="15"/>
  <c r="I35" i="15"/>
  <c r="I49" i="15"/>
  <c r="I30" i="15"/>
  <c r="I12" i="15"/>
  <c r="G22" i="23" l="1"/>
  <c r="G27" i="23" s="1"/>
  <c r="G23" i="23"/>
  <c r="D45" i="14"/>
  <c r="H18" i="14"/>
  <c r="H45" i="14"/>
  <c r="C16" i="16"/>
  <c r="F16" i="16" s="1"/>
  <c r="C18" i="16"/>
  <c r="H18" i="16" s="1"/>
  <c r="G17" i="16"/>
  <c r="G20" i="16"/>
  <c r="E23" i="16"/>
  <c r="C36" i="16"/>
  <c r="G16" i="16"/>
  <c r="G14" i="16"/>
  <c r="C15" i="16"/>
  <c r="F15" i="16" s="1"/>
  <c r="C20" i="16"/>
  <c r="F20" i="16" s="1"/>
  <c r="C21" i="16"/>
  <c r="H21" i="16" s="1"/>
  <c r="G15" i="16"/>
  <c r="G19" i="16"/>
  <c r="C13" i="16"/>
  <c r="F13" i="16" s="1"/>
  <c r="C14" i="16"/>
  <c r="F14" i="16" s="1"/>
  <c r="F22" i="16"/>
  <c r="G22" i="16"/>
  <c r="C19" i="16"/>
  <c r="C17" i="16"/>
  <c r="G13" i="16"/>
  <c r="G33" i="16"/>
  <c r="J70" i="15"/>
  <c r="K6" i="15" s="1"/>
  <c r="L64" i="15"/>
  <c r="K70" i="15"/>
  <c r="K7" i="15" s="1"/>
  <c r="I70" i="15"/>
  <c r="E23" i="14" l="1"/>
  <c r="E26" i="14"/>
  <c r="E20" i="14"/>
  <c r="E17" i="14"/>
  <c r="E14" i="14"/>
  <c r="E29" i="14"/>
  <c r="E38" i="14"/>
  <c r="E35" i="14"/>
  <c r="E41" i="14"/>
  <c r="E32" i="14"/>
  <c r="K45" i="14"/>
  <c r="J45" i="14"/>
  <c r="H48" i="14"/>
  <c r="I48" i="14"/>
  <c r="L70" i="15"/>
  <c r="K8" i="15" s="1"/>
  <c r="H13" i="16"/>
  <c r="G28" i="16"/>
  <c r="G23" i="16"/>
  <c r="G37" i="16" s="1"/>
  <c r="G51" i="16" s="1"/>
  <c r="H16" i="16"/>
  <c r="G31" i="16"/>
  <c r="C35" i="16"/>
  <c r="H20" i="16"/>
  <c r="G35" i="16"/>
  <c r="C32" i="16"/>
  <c r="G36" i="16"/>
  <c r="H22" i="16"/>
  <c r="C23" i="16"/>
  <c r="D13" i="16" s="1"/>
  <c r="C28" i="16"/>
  <c r="H19" i="16"/>
  <c r="G34" i="16"/>
  <c r="G30" i="16"/>
  <c r="H15" i="16"/>
  <c r="F36" i="16"/>
  <c r="C50" i="16"/>
  <c r="F50" i="16" s="1"/>
  <c r="H17" i="16"/>
  <c r="G32" i="16"/>
  <c r="C31" i="16"/>
  <c r="C34" i="16"/>
  <c r="C29" i="16"/>
  <c r="C33" i="16"/>
  <c r="F18" i="16"/>
  <c r="G47" i="16"/>
  <c r="H14" i="16"/>
  <c r="G29" i="16"/>
  <c r="F19" i="16"/>
  <c r="F21" i="16"/>
  <c r="C30" i="16"/>
  <c r="F17" i="16"/>
  <c r="L49" i="15"/>
  <c r="L57" i="15"/>
  <c r="L46" i="15"/>
  <c r="L61" i="15"/>
  <c r="E45" i="14" l="1"/>
  <c r="J48" i="14"/>
  <c r="L45" i="14"/>
  <c r="K48" i="14"/>
  <c r="D16" i="16"/>
  <c r="D19" i="16"/>
  <c r="F23" i="16"/>
  <c r="D21" i="16"/>
  <c r="D14" i="16"/>
  <c r="D15" i="16"/>
  <c r="D20" i="16"/>
  <c r="D17" i="16"/>
  <c r="D18" i="16"/>
  <c r="C47" i="16"/>
  <c r="H47" i="16" s="1"/>
  <c r="F33" i="16"/>
  <c r="F34" i="16"/>
  <c r="C48" i="16"/>
  <c r="G50" i="16"/>
  <c r="H50" i="16" s="1"/>
  <c r="H36" i="16"/>
  <c r="C44" i="16"/>
  <c r="F30" i="16"/>
  <c r="H33" i="16"/>
  <c r="H30" i="16"/>
  <c r="G44" i="16"/>
  <c r="C42" i="16"/>
  <c r="C37" i="16"/>
  <c r="D35" i="16" s="1"/>
  <c r="F28" i="16"/>
  <c r="G43" i="16"/>
  <c r="H29" i="16"/>
  <c r="F29" i="16"/>
  <c r="C43" i="16"/>
  <c r="F31" i="16"/>
  <c r="C45" i="16"/>
  <c r="G48" i="16"/>
  <c r="H34" i="16"/>
  <c r="H23" i="16"/>
  <c r="D22" i="16"/>
  <c r="C46" i="16"/>
  <c r="F32" i="16"/>
  <c r="F35" i="16"/>
  <c r="C49" i="16"/>
  <c r="G42" i="16"/>
  <c r="H28" i="16"/>
  <c r="D23" i="16"/>
  <c r="G46" i="16"/>
  <c r="H32" i="16"/>
  <c r="G49" i="16"/>
  <c r="H35" i="16"/>
  <c r="H31" i="16"/>
  <c r="G45" i="16"/>
  <c r="L35" i="15"/>
  <c r="L43" i="15"/>
  <c r="L48" i="14" l="1"/>
  <c r="H49" i="16"/>
  <c r="H48" i="16"/>
  <c r="H45" i="16"/>
  <c r="H44" i="16"/>
  <c r="F37" i="16"/>
  <c r="H37" i="16"/>
  <c r="D36" i="16"/>
  <c r="F49" i="16"/>
  <c r="F46" i="16"/>
  <c r="D29" i="16"/>
  <c r="H43" i="16"/>
  <c r="C51" i="16"/>
  <c r="D45" i="16" s="1"/>
  <c r="F42" i="16"/>
  <c r="D30" i="16"/>
  <c r="D33" i="16"/>
  <c r="D31" i="16"/>
  <c r="F43" i="16"/>
  <c r="D28" i="16"/>
  <c r="D34" i="16"/>
  <c r="H46" i="16"/>
  <c r="H42" i="16"/>
  <c r="D32" i="16"/>
  <c r="F45" i="16"/>
  <c r="F44" i="16"/>
  <c r="F48" i="16"/>
  <c r="F47" i="16"/>
  <c r="L30" i="15"/>
  <c r="D42" i="16" l="1"/>
  <c r="D47" i="16"/>
  <c r="D48" i="16"/>
  <c r="D44" i="16"/>
  <c r="D49" i="16"/>
  <c r="D46" i="16"/>
  <c r="D43" i="16"/>
  <c r="D37" i="16"/>
  <c r="D50" i="16"/>
  <c r="F51" i="16"/>
  <c r="H51" i="16"/>
  <c r="L23" i="15"/>
  <c r="K5" i="15"/>
  <c r="D51" i="16" l="1"/>
  <c r="F17" i="14" l="1"/>
  <c r="F45" i="14" s="1"/>
  <c r="F46" i="14" l="1"/>
  <c r="F48" i="14"/>
  <c r="F49" i="14" s="1"/>
  <c r="G17" i="14"/>
  <c r="G45" i="14" s="1"/>
  <c r="G48" i="14" s="1"/>
  <c r="G49" i="14" l="1"/>
  <c r="H49" i="14" s="1"/>
  <c r="I49" i="14" s="1"/>
  <c r="J49" i="14" s="1"/>
  <c r="K49" i="14" s="1"/>
  <c r="L49" i="14" s="1"/>
  <c r="G46" i="14"/>
  <c r="H46" i="14" s="1"/>
  <c r="I46" i="14" s="1"/>
  <c r="J46" i="14" s="1"/>
  <c r="K46" i="14" s="1"/>
  <c r="L46" i="14" s="1"/>
</calcChain>
</file>

<file path=xl/sharedStrings.xml><?xml version="1.0" encoding="utf-8"?>
<sst xmlns="http://schemas.openxmlformats.org/spreadsheetml/2006/main" count="924" uniqueCount="504">
  <si>
    <t>ÍTEM</t>
  </si>
  <si>
    <t>DISCRIMINAÇÃO</t>
  </si>
  <si>
    <t>UNID.</t>
  </si>
  <si>
    <t>QUANT.</t>
  </si>
  <si>
    <t>1.1</t>
  </si>
  <si>
    <t>m²</t>
  </si>
  <si>
    <t>m³</t>
  </si>
  <si>
    <t>m</t>
  </si>
  <si>
    <t>Ítem</t>
  </si>
  <si>
    <t>Discriminação</t>
  </si>
  <si>
    <t>%</t>
  </si>
  <si>
    <t>1º mês</t>
  </si>
  <si>
    <t>2º mês</t>
  </si>
  <si>
    <t>3º mês</t>
  </si>
  <si>
    <t>Totais acumulados</t>
  </si>
  <si>
    <t>SERVIÇOS COMPLEMENTARES</t>
  </si>
  <si>
    <t>Totais simples</t>
  </si>
  <si>
    <t>INFRAESTRUTURA/FUNDAÇÕES SIMPLES</t>
  </si>
  <si>
    <t>SUPERESTRUTURA</t>
  </si>
  <si>
    <t xml:space="preserve">INSTITUTO FEDERAL DE EDUCAÇÃO, CIÊNCIA E TECNOLOGIA DO RIO GRANDE DO NORTE </t>
  </si>
  <si>
    <t>6.1</t>
  </si>
  <si>
    <t>3.1</t>
  </si>
  <si>
    <t>6.2</t>
  </si>
  <si>
    <t>COMP.</t>
  </si>
  <si>
    <t>DEPARTAMENTO DE ENGENHARIA E INFRAESTRUTURA</t>
  </si>
  <si>
    <t>REFERÊNCIA</t>
  </si>
  <si>
    <t>DBI =</t>
  </si>
  <si>
    <t>CRONOGRAMA FÍSICO - FINANCEIRO</t>
  </si>
  <si>
    <t>Valor</t>
  </si>
  <si>
    <t>Percentual mensal</t>
  </si>
  <si>
    <t>Percentual acumulado</t>
  </si>
  <si>
    <t>PLANILHA ORÇAMENTÁRIA</t>
  </si>
  <si>
    <t>MINISTÉRIO DA EDUCAÇÃO - SECRETARIA DE EDUCAÇÃO PROFISSIONAL E TECNOLÓGICA</t>
  </si>
  <si>
    <r>
      <t xml:space="preserve">INSTITUTO FEDERAL DE EDUCAÇÃO, CIÊNCIA E TECNOLÓGIA DO RIO GRANDE DO NORTE - </t>
    </r>
    <r>
      <rPr>
        <b/>
        <i/>
        <sz val="10"/>
        <rFont val="Arial"/>
        <family val="2"/>
      </rPr>
      <t>CAMPUS</t>
    </r>
    <r>
      <rPr>
        <b/>
        <sz val="10"/>
        <rFont val="Arial"/>
        <family val="2"/>
      </rPr>
      <t xml:space="preserve"> CAICÓ</t>
    </r>
  </si>
  <si>
    <t>OBRA/SERVIÇOS:</t>
  </si>
  <si>
    <t>DATA:</t>
  </si>
  <si>
    <t>LOCAL DA OBRA:</t>
  </si>
  <si>
    <t>BDI OBRA:</t>
  </si>
  <si>
    <t>ÁREA CONSTRUÍDA:</t>
  </si>
  <si>
    <t>BDI EQUIP.:</t>
  </si>
  <si>
    <t>MEMÓRIA DE CÁLCULO</t>
  </si>
  <si>
    <t>Total =</t>
  </si>
  <si>
    <t xml:space="preserve">Administração local da obra para cronograma de 8 meses, em conformidade com o Acórdão n°2.622/2013, com vairação da taxa entre 3,49% e 8,87%. </t>
  </si>
  <si>
    <t>COBERTURA</t>
  </si>
  <si>
    <t>Comprimento =</t>
  </si>
  <si>
    <t>Largura =</t>
  </si>
  <si>
    <t>Profundidade =</t>
  </si>
  <si>
    <t>Quatidade =</t>
  </si>
  <si>
    <t>Blocos</t>
  </si>
  <si>
    <t>Altura =</t>
  </si>
  <si>
    <t>2.1</t>
  </si>
  <si>
    <t>2.2</t>
  </si>
  <si>
    <t>DESCRIÇÃO</t>
  </si>
  <si>
    <t>CLASSIFIC.</t>
  </si>
  <si>
    <t>UNID</t>
  </si>
  <si>
    <t>COEF.</t>
  </si>
  <si>
    <t>PREÇO</t>
  </si>
  <si>
    <t>PREÇO TOTAL</t>
  </si>
  <si>
    <t>H</t>
  </si>
  <si>
    <t>M³</t>
  </si>
  <si>
    <t>KG</t>
  </si>
  <si>
    <t>M²</t>
  </si>
  <si>
    <t>L</t>
  </si>
  <si>
    <t>CÁLCULO DA  BONIFICAÇÃO E DESPESAS INDIRETAS, CONFORME ACÓRDÃO 2.622/2013 - T.C.U.</t>
  </si>
  <si>
    <t>TOTAL DAS DESPESAS INDIRETAS</t>
  </si>
  <si>
    <t>B.D.I.             edificação</t>
  </si>
  <si>
    <t>B.D.I.  equipamentos</t>
  </si>
  <si>
    <t>Taxa de Administração Central</t>
  </si>
  <si>
    <t>AC</t>
  </si>
  <si>
    <t>Despesas Financeiras</t>
  </si>
  <si>
    <t>DF</t>
  </si>
  <si>
    <t>Taxa de Seguros e Taxa de Garantias</t>
  </si>
  <si>
    <t>S+G</t>
  </si>
  <si>
    <t>Taxa de Risco</t>
  </si>
  <si>
    <t>R</t>
  </si>
  <si>
    <t>Taxa de Lucro/Remuneração</t>
  </si>
  <si>
    <t>I</t>
  </si>
  <si>
    <t>COFINS</t>
  </si>
  <si>
    <t>i°</t>
  </si>
  <si>
    <t>ISS</t>
  </si>
  <si>
    <t>i¹</t>
  </si>
  <si>
    <t>6.3</t>
  </si>
  <si>
    <t>PIS</t>
  </si>
  <si>
    <t>i²</t>
  </si>
  <si>
    <t>6.4</t>
  </si>
  <si>
    <t>CPRB -CONTRIBUIÇÃO PREVIDENCIÁRIA SOBRE RENDA BRUTA</t>
  </si>
  <si>
    <t>i³</t>
  </si>
  <si>
    <t xml:space="preserve">TOTAL GERAL DO B.D.I. </t>
  </si>
  <si>
    <t>AC = taxa de administração central</t>
  </si>
  <si>
    <t>DF = taxa de despesas financeiras</t>
  </si>
  <si>
    <t>S = taxa de seguros</t>
  </si>
  <si>
    <t>G = taxa de garantias</t>
  </si>
  <si>
    <t>R = taxa de risco</t>
  </si>
  <si>
    <t>L = taxa de lucro/remuneração</t>
  </si>
  <si>
    <t>I = taxa de incidência de impostos</t>
  </si>
  <si>
    <t xml:space="preserve">     (PIS, COFINS, ISS e CPRB)</t>
  </si>
  <si>
    <t>COFINS = 3,00%;       PIS = 0,65%;        ISS = 2,00% A 5,00%;           CPRB = 4,50%</t>
  </si>
  <si>
    <t>3.2</t>
  </si>
  <si>
    <t>Quantidade =</t>
  </si>
  <si>
    <t>Total da fundação =</t>
  </si>
  <si>
    <t>P. UNITÁRIO
SEM BDI</t>
  </si>
  <si>
    <t>P. UNITÁRIO
COM BDI</t>
  </si>
  <si>
    <t>4.1</t>
  </si>
  <si>
    <t>TOTAL GERAL DO ORÇAMENTO =</t>
  </si>
  <si>
    <t>SERVIÇOS PRELIMINARES/TÉCNICOS</t>
  </si>
  <si>
    <t>Unid</t>
  </si>
  <si>
    <t>Placa indicativa da obra em chapa de aço galvanizado 22, conforme padrão do IFRN.</t>
  </si>
  <si>
    <t>Instalações provisórias de luz, força, telefone e lógica.</t>
  </si>
  <si>
    <t/>
  </si>
  <si>
    <t>CREA - ART de execução dos serviços =</t>
  </si>
  <si>
    <t>Largura da placa =</t>
  </si>
  <si>
    <t>Altura da placa =</t>
  </si>
  <si>
    <t>Largura do canteiro =</t>
  </si>
  <si>
    <t>Comprimento do canteiro =</t>
  </si>
  <si>
    <t>SINAPI - 94295</t>
  </si>
  <si>
    <t>MESTRE DE OBRAS COM ENCARGOS COMPLEMENTARES</t>
  </si>
  <si>
    <t>MÊS</t>
  </si>
  <si>
    <t>SINAPI - 90778</t>
  </si>
  <si>
    <t>ENGENHEIRO CIVIL DE OBRA PLENO COM ENCARGOS COMPLEMENTARES</t>
  </si>
  <si>
    <t>TOTAL SEM BDI (1 MÊS)</t>
  </si>
  <si>
    <t>P. TOTAL
SEM BDI</t>
  </si>
  <si>
    <t>P. TOTAL
COM BDI</t>
  </si>
  <si>
    <t>3.3</t>
  </si>
  <si>
    <t>5.1</t>
  </si>
  <si>
    <t>2.3</t>
  </si>
  <si>
    <t>PINTURA</t>
  </si>
  <si>
    <t>2.4</t>
  </si>
  <si>
    <t>2.5</t>
  </si>
  <si>
    <t>REVESTIMENTOS</t>
  </si>
  <si>
    <t>7.1</t>
  </si>
  <si>
    <t>8.1</t>
  </si>
  <si>
    <t>Altura da peça =</t>
  </si>
  <si>
    <t>Largura da peça =</t>
  </si>
  <si>
    <t>8.2</t>
  </si>
  <si>
    <t>7.2</t>
  </si>
  <si>
    <t>9.1</t>
  </si>
  <si>
    <t>4º mês</t>
  </si>
  <si>
    <t>7.3</t>
  </si>
  <si>
    <t>8.0</t>
  </si>
  <si>
    <t>4.0</t>
  </si>
  <si>
    <t>1.0</t>
  </si>
  <si>
    <t>2.0</t>
  </si>
  <si>
    <t>3.0</t>
  </si>
  <si>
    <t>5.0</t>
  </si>
  <si>
    <t>6.0</t>
  </si>
  <si>
    <t>7.0</t>
  </si>
  <si>
    <t>9.0</t>
  </si>
  <si>
    <t>SINAPI - 103326</t>
  </si>
  <si>
    <t>SINAPI - 95241</t>
  </si>
  <si>
    <t>SINAPI - 102487</t>
  </si>
  <si>
    <t>kg</t>
  </si>
  <si>
    <t>PT</t>
  </si>
  <si>
    <t>IMPERMEABILIZAÇÃO DE SUPERFÍCIES</t>
  </si>
  <si>
    <t>10.0</t>
  </si>
  <si>
    <t>10.1</t>
  </si>
  <si>
    <t>REGULARIZAÇÃO DE OBRA.</t>
  </si>
  <si>
    <t>UND</t>
  </si>
  <si>
    <t>1.2</t>
  </si>
  <si>
    <t>1.3</t>
  </si>
  <si>
    <t>SINAPI - 98525</t>
  </si>
  <si>
    <t>1.4</t>
  </si>
  <si>
    <t>1.5</t>
  </si>
  <si>
    <t>EXECUÇÃO DE DEPÓSITO EM CANTEIRO DE OBRA EM CHAPA DE MADEIRA COMPENSADA, NÃO INCLUSO MOBILIÁRIO. AF_04/2016.</t>
  </si>
  <si>
    <t>1.6</t>
  </si>
  <si>
    <t>1.7</t>
  </si>
  <si>
    <t>1.8</t>
  </si>
  <si>
    <t>Ponto</t>
  </si>
  <si>
    <t>1.9</t>
  </si>
  <si>
    <t>SINAPI - 95875</t>
  </si>
  <si>
    <t>M</t>
  </si>
  <si>
    <t>SINAPI - 96545</t>
  </si>
  <si>
    <t>Comprimento da barra =</t>
  </si>
  <si>
    <t>barras</t>
  </si>
  <si>
    <t>Quantidade de barras por fundação =</t>
  </si>
  <si>
    <t>Comprimento total por fundação =</t>
  </si>
  <si>
    <t>Dimenção da ferragem 8.0 mm</t>
  </si>
  <si>
    <t>Peso da ferragem 8.0 mm</t>
  </si>
  <si>
    <t>kg/m</t>
  </si>
  <si>
    <t>Peso total por fundação =</t>
  </si>
  <si>
    <t>Peso total</t>
  </si>
  <si>
    <t>Quantidade de blocos de fundação =</t>
  </si>
  <si>
    <t>Peso total da ferragem dos blocos de fundação =</t>
  </si>
  <si>
    <t>SINAPI - 92762</t>
  </si>
  <si>
    <t>Dimenção da ferragem 10.0 mm</t>
  </si>
  <si>
    <t>Quantidade de barras por pilar =</t>
  </si>
  <si>
    <t>Peso da ferragem 10.0 mm</t>
  </si>
  <si>
    <t>Peso total por pilar =</t>
  </si>
  <si>
    <t>Quantidade de pilares =</t>
  </si>
  <si>
    <t>pilares</t>
  </si>
  <si>
    <t>Peso total da ferragem dos pilares =</t>
  </si>
  <si>
    <t>ARMAÇÃO DE PILAR OU VIGA DE ESTRUTURA CONVENCIONAL DE CONCRETO ARMADO UTILIZANDO AÇO CA-50 DE 10,0 MM - MONTAGEM. AF_06/2022.</t>
  </si>
  <si>
    <t>FORMA PARA PILARES EM TABUAS DE MADEIRA.</t>
  </si>
  <si>
    <t>tábuas</t>
  </si>
  <si>
    <t>CONCRETAGEM DE PILARES, FCK = 25 MPA, COM USO DE BALDES - LANÇAMENTO, ADENSAMENTO E ACABAMENTO. AF_02/2022.</t>
  </si>
  <si>
    <t>Formas para pilar</t>
  </si>
  <si>
    <t>SINAPI - 103669</t>
  </si>
  <si>
    <t>Altura  =</t>
  </si>
  <si>
    <t>ALVENARIA DE VEDAÇÃO/DIVISÓRIA</t>
  </si>
  <si>
    <t>Comprimento 1 =</t>
  </si>
  <si>
    <t>Comprimento 2 =</t>
  </si>
  <si>
    <t>Largura 1 =</t>
  </si>
  <si>
    <t>Largura 2 =</t>
  </si>
  <si>
    <t>Perímetro  =</t>
  </si>
  <si>
    <t>Mureta 50 cm</t>
  </si>
  <si>
    <t>Impermeabilização da mureta</t>
  </si>
  <si>
    <t>Total da alvenaria =</t>
  </si>
  <si>
    <t>faces</t>
  </si>
  <si>
    <t>Pintura nas duas faces =</t>
  </si>
  <si>
    <t>SINAPI - 87894</t>
  </si>
  <si>
    <t>SINAPI - 87792</t>
  </si>
  <si>
    <t>Chapisco da mureta</t>
  </si>
  <si>
    <t>Emboço da mureta</t>
  </si>
  <si>
    <t>Aplicação de textura na mureta</t>
  </si>
  <si>
    <t>Aplicação de selador na mureta</t>
  </si>
  <si>
    <t>SINAPI - 88485</t>
  </si>
  <si>
    <t>SINAPI - 88423</t>
  </si>
  <si>
    <t>PAVIMENTAÇÃO</t>
  </si>
  <si>
    <t>SINAPI - 92396</t>
  </si>
  <si>
    <t>Área total de projeto</t>
  </si>
  <si>
    <t>10.2</t>
  </si>
  <si>
    <t>Área total =</t>
  </si>
  <si>
    <t>Par</t>
  </si>
  <si>
    <t>10.3</t>
  </si>
  <si>
    <t>10.4</t>
  </si>
  <si>
    <t>Área total do objeto contratado =</t>
  </si>
  <si>
    <t>LIMPEZA GERAL.</t>
  </si>
  <si>
    <t>Percentual a ser limpo =</t>
  </si>
  <si>
    <t>Área total de alambrado =</t>
  </si>
  <si>
    <r>
      <t xml:space="preserve">Peso Linear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 xml:space="preserve"> 8.0 mm =</t>
    </r>
  </si>
  <si>
    <r>
      <t xml:space="preserve">Peso Linear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 xml:space="preserve"> 10.0 mm =</t>
    </r>
  </si>
  <si>
    <t>Construtora:</t>
  </si>
  <si>
    <t>BOLETIM DE MEDIÇÃO DE SERVIÇOS - Nº 01</t>
  </si>
  <si>
    <t>PERIODO DA MEDIÇÃO:</t>
  </si>
  <si>
    <t>Valor Contrato        =</t>
  </si>
  <si>
    <t>OBRA:</t>
  </si>
  <si>
    <t>Valor da Medição     =</t>
  </si>
  <si>
    <t>LOCAL:</t>
  </si>
  <si>
    <t>CAICÓ / RN.</t>
  </si>
  <si>
    <t>NOTA FISCAL</t>
  </si>
  <si>
    <t>Valor Acumulado     =</t>
  </si>
  <si>
    <t>FIRMA:</t>
  </si>
  <si>
    <t>CONTRATO :</t>
  </si>
  <si>
    <t>Saldo Contrato      =</t>
  </si>
  <si>
    <t>ITEM</t>
  </si>
  <si>
    <t>DISCRIMINAÇÃO DOS SERVIÇOS</t>
  </si>
  <si>
    <t>PREÇO UNITÁRIO</t>
  </si>
  <si>
    <t>QUANTIDADES</t>
  </si>
  <si>
    <t>PREÇOS - R$</t>
  </si>
  <si>
    <t>CONTRATO</t>
  </si>
  <si>
    <t>MEDIÇÃO 01</t>
  </si>
  <si>
    <t>ACUMULADA</t>
  </si>
  <si>
    <t>SALDO</t>
  </si>
  <si>
    <t>MEDIÇÃO</t>
  </si>
  <si>
    <t>ACUMULADO</t>
  </si>
  <si>
    <t>TOTAL GERAL</t>
  </si>
  <si>
    <t>ACOMPANHAMENTO DA OBRA</t>
  </si>
  <si>
    <t>CRONOGRAMA FÍSICO FINANCEIRO</t>
  </si>
  <si>
    <t>Periodo:</t>
  </si>
  <si>
    <t>SIMEC - BOLETIM DE MEDIÇÃO 01</t>
  </si>
  <si>
    <t>Data:</t>
  </si>
  <si>
    <t>Etapa</t>
  </si>
  <si>
    <t>Valor Previsto</t>
  </si>
  <si>
    <t>MEDIÇÃO 01
R$</t>
  </si>
  <si>
    <t xml:space="preserve">MEDIÇÃO 01
% </t>
  </si>
  <si>
    <t>ACUMULADO
R$</t>
  </si>
  <si>
    <t>ACUMULADO
%</t>
  </si>
  <si>
    <t>TOTAL</t>
  </si>
  <si>
    <t>SIMEC - BOLETIM DE MEDIÇÃO 02</t>
  </si>
  <si>
    <t>MEDIÇÃO 02
R$</t>
  </si>
  <si>
    <t xml:space="preserve">MEDIÇÃO 02
% </t>
  </si>
  <si>
    <t>SIMEC - BOLETIM DE MEDIÇÃO 03</t>
  </si>
  <si>
    <t>MEDIÇÃO 03
R$</t>
  </si>
  <si>
    <t xml:space="preserve">MEDIÇÃO 03
% </t>
  </si>
  <si>
    <t>300/2023 - PROAD/IFRN</t>
  </si>
  <si>
    <t>ANDRADE &amp; REIS ENGENHARIA E PROJETOS LTDA</t>
  </si>
  <si>
    <t>5º mês</t>
  </si>
  <si>
    <t>08/01/2024 - 28/03/2024</t>
  </si>
  <si>
    <t>FORNECIMENTO E IMPLANTAÇÃO DE POSTES METALICOS AUTOPORTANTES, CONICO OU TELESCOPICO, 12 M, C/ REFLETOR, LÂMPADAS LED 400W IP68 FLOOD LIGHT QUATRO MODULOS NUMBER TWO MODELO 2022</t>
  </si>
  <si>
    <t>TOTAL SEM BDI (7 MÊS)</t>
  </si>
  <si>
    <t>ADMINISTRAÇÃO LOCAL DA OBRA, PARA CRONOGRAMA DE 7 MESES, EM CONFORMIDADE COM O ACÓRDÃO N°2.622/2013, ONDE A TAXA DE ADMINISTRAÇÃO LOCAL DA OBRA DEVE VARIAR ENTRE 3,49% E 8,87%.</t>
  </si>
  <si>
    <t>Execução plena do contrato conforme cronograma =</t>
  </si>
  <si>
    <t>PLACA DE OBRA EM CHAPA AÇO GALVANIZADO, INSTALADA.</t>
  </si>
  <si>
    <t>X =</t>
  </si>
  <si>
    <t>2.6</t>
  </si>
  <si>
    <t>2.7</t>
  </si>
  <si>
    <t>Quantidade de instalação necessária =</t>
  </si>
  <si>
    <t>2.9</t>
  </si>
  <si>
    <t>KM</t>
  </si>
  <si>
    <t>Deslocamento até o local da obra</t>
  </si>
  <si>
    <t>Distância =</t>
  </si>
  <si>
    <t>km</t>
  </si>
  <si>
    <t>LIMPEZA MECANIZADA DE CAMADA VEGETAL, VEGETAÇÃO E PEQUENAS ÁRVORES (DIÂMETRO DE TRONCO MENOR QUE 0,20 M), COM TRATOR DE ESTEIRAS. AF_03/2024.</t>
  </si>
  <si>
    <t>ESCAVAÇÃO MANUAL PARA BLOCO DE COROAMENTO OU SAPATA (INCLUINDO ESCAVAÇÃO PARA COLOCAÇÃO DE FÔRMAS). AF_06/2017</t>
  </si>
  <si>
    <t>ESCAVAÇÃO MANUAL DE VALA COM PROFUNDIDADE MENOR OU IGUAL A 1,30 M. AF_02/2021</t>
  </si>
  <si>
    <t>LASTRO DE CONCRETO MAGRO, APLICADO EM BLOCOS DE COROAMENTO OU SAPATAS, ESPESSURA DE 5 CM. AF_08/2017</t>
  </si>
  <si>
    <t>Total de concreto magro =</t>
  </si>
  <si>
    <t>CONCRETO CICLÓPICO FCK = 15MPA, 30% PEDRA DE MÃO EM VOLUME REAL, INCLUSIVE LANÇAMENTO. AF_05/2021</t>
  </si>
  <si>
    <t>Espessura do aterro =</t>
  </si>
  <si>
    <t>REATERRO MANUAL DE VALAS, COM PLACA VIBRATÓRIA. AF_08/2023</t>
  </si>
  <si>
    <t>APLICAÇÃO DE LONA PLÁSTICA PARA EXECUÇÃO DE PAVIMENTOS DE CONCRETO. AF_04/2022</t>
  </si>
  <si>
    <t>CARGA, MANOBRA E DESCARGA DE ENTULHO EM CAMINHÃO BASCULANTE 10 M³ - CARGA COM ESCAVADEIRA HIDRÁULICA (CAÇAMBA DE 0,80 M³ / 111 HP) E DESCARGA LIVRE (UNIDADE: M3). AF_07/2020.</t>
  </si>
  <si>
    <t>Área medida em projeto =</t>
  </si>
  <si>
    <t>TRANSPORTE COM CAMINHÃO BASCULANTE DE 10 M³, EM VIA URBANA PAVIMENTADA, DMT ATÉ 30 KM (UNIDADE: M3XKM). AF_07/2020</t>
  </si>
  <si>
    <t>M³ x KM</t>
  </si>
  <si>
    <t>2.10</t>
  </si>
  <si>
    <t>Dimenção da ferragem 5.0 mm</t>
  </si>
  <si>
    <t>Peso da ferragem 5.0 mm</t>
  </si>
  <si>
    <t>3.4</t>
  </si>
  <si>
    <t>3.5</t>
  </si>
  <si>
    <t>8.3</t>
  </si>
  <si>
    <t>8.4</t>
  </si>
  <si>
    <t>PINTURA COM TINTA ALQUÍDICA DE FUNDO (TIPO ZARCÃO) APLICADA A ROLO OU PINCEL SOBRE PERFIL METÁLICO EXECUTADO EM FÁBRICA (POR DEMÃO). AF_01/2020</t>
  </si>
  <si>
    <t>PINTURA COM TINTA ALQUÍDICA DE FUNDO E ACABAMENTO (ESMALTE SINTÉTICO GRAFITE) PULVERIZADA SOBRE SUPERFÍCIES METÁLICAS (EXCETO PERFIL) EXECUTADO EM OBRA (POR DEMÃO). AF_01/2020_PE</t>
  </si>
  <si>
    <t>ASSENTAMENTO DE GUIA (MEIO-FIO) EM TRECHO RETO, CONFECCIONADA EM CONCRETO PRÉ-FABRICADO, DIMENSÕES 100X15X13X30 CM (COMPRIMENTO X BASE INFERIOR X BASE SUPERIOR X ALTURA). AF_01/2024</t>
  </si>
  <si>
    <t>9.2</t>
  </si>
  <si>
    <t>10.5</t>
  </si>
  <si>
    <t>10.6</t>
  </si>
  <si>
    <t>10.7</t>
  </si>
  <si>
    <t>Recuos =</t>
  </si>
  <si>
    <t>SINAPI - 99059</t>
  </si>
  <si>
    <t>Baldrame</t>
  </si>
  <si>
    <t>Total de Escavação =</t>
  </si>
  <si>
    <t>Comprimento da quadra =</t>
  </si>
  <si>
    <t>Largura da quadra =</t>
  </si>
  <si>
    <t>Espessura =</t>
  </si>
  <si>
    <t>Desconto da escavação já feita nos blocos</t>
  </si>
  <si>
    <t>Desconto do magro já feita nos blocos</t>
  </si>
  <si>
    <t>SINAPI - 96523</t>
  </si>
  <si>
    <t>SINAPI - 96527</t>
  </si>
  <si>
    <t>Baldrame =</t>
  </si>
  <si>
    <t>Blocos + Baldrame</t>
  </si>
  <si>
    <t>Volume gerado pela escavação</t>
  </si>
  <si>
    <t>Volume total do caixão</t>
  </si>
  <si>
    <t>Volume de reaterro</t>
  </si>
  <si>
    <t>Reaterro =</t>
  </si>
  <si>
    <t>Total de aterro =</t>
  </si>
  <si>
    <t>SINAPI - 104737</t>
  </si>
  <si>
    <t>SINAPI - 94319</t>
  </si>
  <si>
    <t>SINAPI - 100982</t>
  </si>
  <si>
    <t>SINAPI - 97113</t>
  </si>
  <si>
    <t>Área de jogo</t>
  </si>
  <si>
    <t>Limpeza de vegetação</t>
  </si>
  <si>
    <t>DTM =</t>
  </si>
  <si>
    <t>SINAPI - 104111</t>
  </si>
  <si>
    <t>SINAPI - 040107</t>
  </si>
  <si>
    <t>Quantidade de estribos por pilar =</t>
  </si>
  <si>
    <t>Comprimento do estribo =</t>
  </si>
  <si>
    <r>
      <t xml:space="preserve">Peso Linear </t>
    </r>
    <r>
      <rPr>
        <sz val="10"/>
        <rFont val="Symbol"/>
        <family val="1"/>
        <charset val="2"/>
      </rPr>
      <t>f</t>
    </r>
    <r>
      <rPr>
        <sz val="10"/>
        <rFont val="Arial"/>
        <family val="2"/>
      </rPr>
      <t xml:space="preserve"> 5.0 mm =</t>
    </r>
  </si>
  <si>
    <t>Estribos</t>
  </si>
  <si>
    <t>ALVENARIA DE VEDAÇÃO DE BLOCOS CERÂMICOS FURADOS NA VERTICAL DE 19X19X39 CM (ESPESSURA 19 CM) E ARGAMASSA DE ASSENTAMENTO COM PREPARO EM BETONEIRA. AF_12/2021</t>
  </si>
  <si>
    <t>SINAPI - 100720</t>
  </si>
  <si>
    <t>SINAPI - 100725</t>
  </si>
  <si>
    <t>Barra Vertical</t>
  </si>
  <si>
    <t>Barra Horizontal</t>
  </si>
  <si>
    <t>Altura da barra =</t>
  </si>
  <si>
    <t>Diâmetro da barra =</t>
  </si>
  <si>
    <t>cm</t>
  </si>
  <si>
    <t>Área lateral da barra =</t>
  </si>
  <si>
    <t>Perímetro da seção da barra =</t>
  </si>
  <si>
    <t>comprimento da barra =</t>
  </si>
  <si>
    <t>Lances</t>
  </si>
  <si>
    <t>SINAPI - 94273</t>
  </si>
  <si>
    <t>Dimensão medida em projeto =</t>
  </si>
  <si>
    <t>Portôes de acesso</t>
  </si>
  <si>
    <t>Quantidades =</t>
  </si>
  <si>
    <t>Portões</t>
  </si>
  <si>
    <t>SINAPI - 102362</t>
  </si>
  <si>
    <t>Área dos portões</t>
  </si>
  <si>
    <t>Área dos dois portões =</t>
  </si>
  <si>
    <t>Quantidades de traves =</t>
  </si>
  <si>
    <t>Quantidades de postes =</t>
  </si>
  <si>
    <t>INSTALAÇÕES ELÉTRICAS</t>
  </si>
  <si>
    <t>SINAPI - 101875</t>
  </si>
  <si>
    <t>6.5</t>
  </si>
  <si>
    <t>6.6</t>
  </si>
  <si>
    <t>6.7</t>
  </si>
  <si>
    <t>6.8</t>
  </si>
  <si>
    <t>6.9</t>
  </si>
  <si>
    <t>6.10</t>
  </si>
  <si>
    <t>SINAPI - 97882</t>
  </si>
  <si>
    <t>SINAPI - 91873</t>
  </si>
  <si>
    <t>SINAPI - 95731</t>
  </si>
  <si>
    <t>SINAPI - 91928</t>
  </si>
  <si>
    <t>SINAPI - 93653</t>
  </si>
  <si>
    <t>SINAPI - 93670</t>
  </si>
  <si>
    <t>SINAPI - 91998</t>
  </si>
  <si>
    <t>SINAPI - 91999</t>
  </si>
  <si>
    <t>QUADRO DE DISTRIBUIÇÃO DE ENERGIA EM CHAPA DE AÇO GALVANIZADO, DE EMBUTIR, COM BARRAMENTO TRIFÁSICO, PARA 12 DISJUNTORES DIN 100A - FORNECIMENTO E INSTALAÇÃO. AF_10/2020</t>
  </si>
  <si>
    <t>CAIXA ENTERRADA ELÉTRICA RETANGULAR, EM CONCRETO PRÉ-MOLDADO, FUNDO COM BRITA, DIMENSÕES INTERNAS: 0,4 X 0,4 X 0,4 M. AF_12/2020</t>
  </si>
  <si>
    <t>ELETRODUTO RÍGIDO ROSCÁVEL, PVC, DN 40 MM (1 1/4"), PARA CIRCUITOS TERMINAIS, INSTALADO EM PAREDE - FORNECIMENTO E INSTALAÇÃO. AF_03/2023</t>
  </si>
  <si>
    <t>ELETRODUTO RÍGIDO SOLDÁVEL, PVC, DN 32 MM (1"), APARENTE, INSTALADO EM PAREDE - FORNECIMENTO E INSTALAÇÃO. AF_11/2016</t>
  </si>
  <si>
    <t>CABO DE COBRE FLEXÍVEL ISOLADO, 4 MM², ANTI-CHAMA 450/750 V, PARA CIRCUITOS TERMINAIS - FORNECIMENTO E INSTALAÇÃO. AF_03/2023</t>
  </si>
  <si>
    <t>DISJUNTOR MONOPOLAR TIPO DIN, CORRENTE NOMINAL DE 10A - FORNECIMENTO E INSTALAÇÃO. AF_10/2020</t>
  </si>
  <si>
    <t>DISJUNTOR TRIPOLAR TIPO DIN, CORRENTE NOMINAL DE 25A - FORNECIMENTO E INSTALAÇÃO. AF_10/2020</t>
  </si>
  <si>
    <t>TOMADA BAIXA DE EMBUTIR (1 MÓDULO), 2P+T 10 A, SEM SUPORTE E SEM PLACA - FORNECIMENTO E INSTALAÇÃO. AF_03/2023</t>
  </si>
  <si>
    <t>TOMADA BAIXA DE EMBUTIR (1 MÓDULO), 2P+T 20 A, SEM SUPORTE E SEM PLACA - FORNECIMENTO E INSTALAÇÃO. AF_03/2023</t>
  </si>
  <si>
    <t>DESMOBILIZAÇÂO DE EQUIPAMENTOS EM CAMINHÃO EQUIPADO COM GUINDASTE.</t>
  </si>
  <si>
    <t>Conclusão da obra</t>
  </si>
  <si>
    <t>Desonerado</t>
  </si>
  <si>
    <t>Não Desonerado</t>
  </si>
  <si>
    <r>
      <t>Taxa de Incidência de Impostos</t>
    </r>
    <r>
      <rPr>
        <sz val="9"/>
        <color indexed="8"/>
        <rFont val="Arial"/>
        <family val="2"/>
      </rPr>
      <t xml:space="preserve"> (COFINS + ISS + PIS + CPRB)</t>
    </r>
  </si>
  <si>
    <t>LIMITES DOS VALORES, CONFORME ÍTEM 9 DO ACÓRDÃO</t>
  </si>
  <si>
    <t>Legenda:</t>
  </si>
  <si>
    <t>"Comprovada a inviabilidade técnico-econômica de parcelamento do objeto da licitação, nos termos da legislação em vigor, os itens de fornecimento de materiais e equipamentos de natureza específica que possam ser fornecidos por empresas com especialidades próprias e diversas e que representem percentual significativo do preço global da obra devem apresentar incidência de taxa de Bonificação e Despesas Indiretas - BDI reduzida em relação à taxa aplicável aos demais itens."</t>
  </si>
  <si>
    <t>COMPOSIÇÃO DE CUSTO UNITÁRIO DA ADMINISTRAÇÃO LOCAL DE OBRA</t>
  </si>
  <si>
    <t>IFRN/NC - 001
(Fábrica de Sabão)</t>
  </si>
  <si>
    <t>Valor Total do orçamento sem ADM =</t>
  </si>
  <si>
    <t>do orçamento sem ADM =</t>
  </si>
  <si>
    <t>Valor da ADM aplicada ao Orçamento =</t>
  </si>
  <si>
    <t>Porçentagem da ADM (entre 3,49% e 8,87%) =</t>
  </si>
  <si>
    <t>Comprimento total =</t>
  </si>
  <si>
    <t>8.5</t>
  </si>
  <si>
    <t>PINTURA DE MEIO-FIO COM TINTA BRANCA A BASE DE CAL (CAIAÇÃO). AF_05/2021</t>
  </si>
  <si>
    <t>SINAPI - 102498</t>
  </si>
  <si>
    <t>Quadras</t>
  </si>
  <si>
    <t>Bloco de Fundação (0,70 x 0,70 x 0,70) - Mureta da quadra</t>
  </si>
  <si>
    <t>Bloco de Fundação (0,70 x 0,70 x 0,70) =</t>
  </si>
  <si>
    <t>Volume de concreto dos pilares (0,25 x 0,25)</t>
  </si>
  <si>
    <t>Estimativa =</t>
  </si>
  <si>
    <t>Entulho gerado pela obra (Estimativa)</t>
  </si>
  <si>
    <r>
      <t xml:space="preserve">IFRN - </t>
    </r>
    <r>
      <rPr>
        <i/>
        <sz val="10"/>
        <rFont val="Arial"/>
        <family val="2"/>
      </rPr>
      <t>CAMPUS</t>
    </r>
    <r>
      <rPr>
        <sz val="10"/>
        <rFont val="Arial"/>
        <family val="2"/>
      </rPr>
      <t xml:space="preserve"> NOVA CRUZ/RN.</t>
    </r>
  </si>
  <si>
    <t>Área total da quadra com calçadas medida em projeto =</t>
  </si>
  <si>
    <t>Área total da quadra existente medida em projeto =</t>
  </si>
  <si>
    <t>TUBO DE AÇO GALVANIZADO COM COSTURA, CLASSE MÉDIA, CONEXÃO RANHURADA, DN 50 (2"), INSTALADO EM PRUMADAS - FORNECIMENTO E INSTALAÇÃO. AF_10/2020 (ENGASTAMENTO NA FUNDAÇÃO).</t>
  </si>
  <si>
    <t>SINAPI - 92335</t>
  </si>
  <si>
    <t>Área do alambrado da quadra</t>
  </si>
  <si>
    <t>Engastamento na fundação</t>
  </si>
  <si>
    <t>Profundidade da fundação =</t>
  </si>
  <si>
    <t>Altura da mureta =</t>
  </si>
  <si>
    <t>Folga para a solda =</t>
  </si>
  <si>
    <t>Número de blocos =</t>
  </si>
  <si>
    <t>Beach Soccer</t>
  </si>
  <si>
    <t>Lado Mureta 1 =</t>
  </si>
  <si>
    <t>Lado Mureta 2 =</t>
  </si>
  <si>
    <t>Recuo Fundo =</t>
  </si>
  <si>
    <t>Recuo Frente =</t>
  </si>
  <si>
    <t>Recuo Direita =</t>
  </si>
  <si>
    <t>Recuo Esquerda =</t>
  </si>
  <si>
    <t>Medida frontal da área de jogo =</t>
  </si>
  <si>
    <t>Medida Lateral da área de jogo =</t>
  </si>
  <si>
    <t>Espessura da Mureta =</t>
  </si>
  <si>
    <t>CONSTRUÇÃO DE UMA ARENA DE BEACH SOCCER.</t>
  </si>
  <si>
    <t>Tábuas de locação</t>
  </si>
  <si>
    <t>Espessura da mureta</t>
  </si>
  <si>
    <t>Área de escape</t>
  </si>
  <si>
    <t>Entulho =</t>
  </si>
  <si>
    <t>Lado 1 do estribo =</t>
  </si>
  <si>
    <t>Virada =</t>
  </si>
  <si>
    <t>Fundação</t>
  </si>
  <si>
    <t>Mureta</t>
  </si>
  <si>
    <t>Altura do pilar =</t>
  </si>
  <si>
    <t>Espaçamento entre estribos =</t>
  </si>
  <si>
    <t>Comprimento total por pilar =</t>
  </si>
  <si>
    <t>Peso total da ferragem 5.0 mm dos pilares =</t>
  </si>
  <si>
    <t>MOBILIZAÇÃO DE EQUIPAMENTOS EM CAMINHÃO EQUIPADO COM GUINDASTE.</t>
  </si>
  <si>
    <t>LOCAÇÃO CONVENCIONAL DE OBRA, UTILIZANDO GABARITO DE TÁBUAS CORRIDAS PONTALETADAS A CADA 2,00M - 2 UTILIZAÇÕES. AF_03/2024.</t>
  </si>
  <si>
    <t>CHAPISCO  APLICADO  EM  ALVENARIA  (SEM  PRESENÇA  DE  VÃOS)  E ESTRUTURAS   DE   CONCRETO   DE   FACHADA,   COM   COLHER   DE PEDREIRO.  ARGAMASSA  TRAÇO  1:3  COM  PREPARO  EM  BETONEIRA 400L. AF_06/2014.</t>
  </si>
  <si>
    <t>IFRN/NC 001
(Beach Soccer)</t>
  </si>
  <si>
    <t>IFRN/NC 003
(Beach Soccer)</t>
  </si>
  <si>
    <t>IFRN/NC 002
(Beach Soccer)</t>
  </si>
  <si>
    <t>IFRN/NC 004
(Beach Soccer)</t>
  </si>
  <si>
    <t>IFRN/NC 007
(Beach Soccer)</t>
  </si>
  <si>
    <t>EXECUÇÃO DE SANITÁRIO E VESTIÁRIO EM CANTEIRO DE OBRA EM ALVENARIA, NÃO INCLUSO MOBILIÁRIO.</t>
  </si>
  <si>
    <t>Largura do WC =</t>
  </si>
  <si>
    <t>Comprimento do WC =</t>
  </si>
  <si>
    <t>IFRN/NC 005
(Beach Soccer)</t>
  </si>
  <si>
    <t>1.770,48 m²</t>
  </si>
  <si>
    <t>IFRN/NC 006
(Beach Soccer)</t>
  </si>
  <si>
    <t>IFRN/NC 008
(Beach Soccer)</t>
  </si>
  <si>
    <t>IMPERMEABILIZAÇÃO DE SUPERFÍCIE COM EMULSÃO ASFÁLTICA, 2 DEMÃOS. AF_09/2023.</t>
  </si>
  <si>
    <t>SINAPI - 98557</t>
  </si>
  <si>
    <t>ATERRO COM AREIA FINA, COMPACTADO MECANICAMENTE, INCLUSIVE AQUISIÇÃO EM DEPÓSITO DE MATERIAL, TRANSPORTE E ESPALHAMENTO MANUAL DO MATERIAL.</t>
  </si>
  <si>
    <t>IFRN/NC 010 (Beach Soccer)</t>
  </si>
  <si>
    <t>IFRN/NC 011
(Beach Soccer)</t>
  </si>
  <si>
    <t>IFRN/NC 012 (Beach Soccer)</t>
  </si>
  <si>
    <t>CONFECÇÃO DE TRAVE PARA CAMPO DE FUTEBOL DE AREIA (BEACH SOCCER), EM TUBO DE AÇO GALVANIZADO 4", COM DIMENÇÕES DE 5,00X2,20X1,50 M. REDE INCLUSA.</t>
  </si>
  <si>
    <t>Und</t>
  </si>
  <si>
    <t>IFRN/NC 013
(Beach Soccer)</t>
  </si>
  <si>
    <t>6º mês</t>
  </si>
  <si>
    <t>7º mês</t>
  </si>
  <si>
    <t>8º mês</t>
  </si>
  <si>
    <t>9º mês</t>
  </si>
  <si>
    <t>10º mês</t>
  </si>
  <si>
    <r>
      <rPr>
        <b/>
        <sz val="9"/>
        <rFont val="Arial"/>
        <family val="2"/>
      </rPr>
      <t xml:space="preserve">Obs. 1: </t>
    </r>
    <r>
      <rPr>
        <sz val="9"/>
        <rFont val="Arial"/>
        <family val="2"/>
      </rPr>
      <t>Este orçamento foi elaborado de acordo com a planilha não desonerada do SINAPI - Julho/2024, e os códigos dos serviços encontram-se na coluna REFERÊNCIA;</t>
    </r>
  </si>
  <si>
    <t>IFRN/NC 014 (Beach Soccer)</t>
  </si>
  <si>
    <t>IFRN/NC 015
(Beach Soccer)</t>
  </si>
  <si>
    <r>
      <rPr>
        <b/>
        <sz val="9"/>
        <rFont val="Arial"/>
        <family val="2"/>
      </rPr>
      <t xml:space="preserve">Obs. 2: </t>
    </r>
    <r>
      <rPr>
        <sz val="9"/>
        <rFont val="Arial"/>
        <family val="2"/>
      </rPr>
      <t xml:space="preserve">Para os serviços não existentes no SINAPI, foram elaboradas composições próprias com a nomenclatura IFRN com os preços do SINAPI do mês de julho/2024 e ORSE/SE do mes de jun/2024. </t>
    </r>
  </si>
  <si>
    <t>comprimeto</t>
  </si>
  <si>
    <t>vãos</t>
  </si>
  <si>
    <t>nº de vãos</t>
  </si>
  <si>
    <t>INSTALAÇÃO PROVISORIA DE FORÇA.</t>
  </si>
  <si>
    <t>INSTALAÇÃO PROVISORIA DE AGUA.</t>
  </si>
  <si>
    <t>ATERRO MANUAL DE VALAS COM SOLO ARGILO-ARENOSO. AF_08/2023</t>
  </si>
  <si>
    <t>ARMAÇÃO DE PILAR OU VIGA DE ESTRUTURA DE CONCRETO ARMADO EMBUTIDA EM ALVENARIA DE VEDAÇÃO UTILIZANDO AÇO CA-60 DE 5,0 MM - MONTAGEM. AF_06/2022</t>
  </si>
  <si>
    <t>ARMAÇÃO DE BLOCO UTILIZANDO AÇO CA-50 DE 8 MM - MONTAGEM. AF_01/2024</t>
  </si>
  <si>
    <t>IFRN/NC 009
(Beach Soccer)</t>
  </si>
  <si>
    <t>EMBOÇO OU MASSA ÚNICA EM ARGAMASSA TRAÇO 1:2:8, PREPARO MECÂNICO COM BETONEIRA 400 L, APLICADA MANUALMENTE EM PANOS CEGOS DE FACHADA SEM PRESENÇA DE VÃOS), ESPESSURA DE 25 MM. AF_06/2014.</t>
  </si>
  <si>
    <t>FUNDO SELADOR ACRÍLICO, APLICAÇÃO MANUAL EM PAREDE, UMA DEMÃO. AF_04/202</t>
  </si>
  <si>
    <t>APLICAÇÃO MANUAL DE PINTURA COM TINTA TEXTURIZADA ACRÍLICA EM PAREDES EXTERNAS DE CASAS, UMA COR. AF_03/2024.</t>
  </si>
  <si>
    <t>EXECUÇÃO DE PASSEIO EM PISO INTERTRAVADO, COM BLOCO RETANGULAR COR NATURAL DE 20 X 10 CM, ESPESSURA  6  CM. AF_12/2015.</t>
  </si>
  <si>
    <t>PORTAO EM TELA ARAME GALVANIZADO N.12 MALHA 2" E MOLDURA EM TUBOS DE AÇO COM UMA FOLHA DE ABRIR, INCLUSO FERRAGENS.</t>
  </si>
  <si>
    <t>ALAMBRADO PARA QUADRA POLIESPORTIVA, ESTRUTURADO POR TUBOS DE ACO GALVANIZADO, (MONTANTES COM DIAMETRO 2", TRAVESSAS E ESCORAS COM DIÂMETRO 1 ¼), COM TELA DE ARAME GALVANIZADO, FIO 14 BWG E MALHA QUADRADA 5X5CM (EXCETO MURETA). AF_03/2021.</t>
  </si>
  <si>
    <t>CONJUNTO PARA QUADRA DE VOLEI COM POSTES EM TUBO DE ACO GALVANIZADO 3", H = *255* CM, PINTURA EM TINTA ESMALTE SINTETICO, REDE DE NYLON COM 2 MM, MALHA 10 X 10 CM E ANTENAS OFICIAIS EM FIBRA DE VIDRO.</t>
  </si>
  <si>
    <t>Nova Cruz/RN, 03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</si>
</sst>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"/>
    <numFmt numFmtId="168" formatCode="_(&quot;R$&quot;* #,##0.00_);_(&quot;R$&quot;* \(#,##0.00\);_(&quot;R$&quot;* &quot;-&quot;??_);_(@_)"/>
    <numFmt numFmtId="169" formatCode="_(&quot;Cr$&quot;* #,##0.00_);_(&quot;Cr$&quot;* \(#,##0.00\);_(&quot;Cr$&quot;* &quot;-&quot;??_);_(@_)"/>
    <numFmt numFmtId="170" formatCode="&quot;R$&quot;#,##0.00"/>
    <numFmt numFmtId="171" formatCode="_(* #,##0.00_);_(* \(#,##0.00\);_(* \-??_);_(@_)"/>
    <numFmt numFmtId="172" formatCode="&quot;R$&quot;\ #,##0.00"/>
    <numFmt numFmtId="173" formatCode="#,##0.000"/>
    <numFmt numFmtId="174" formatCode="&quot;R$ &quot;#,##0.00_);[Red]\(&quot;R$ &quot;#,##0.00\)"/>
    <numFmt numFmtId="175" formatCode="#,##0.0000"/>
    <numFmt numFmtId="176" formatCode="0.000000"/>
    <numFmt numFmtId="177" formatCode="&quot;R$&quot;\ #,##0.000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2"/>
      <color indexed="10"/>
      <name val="Arial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u/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10"/>
      <name val="Symbol"/>
      <family val="1"/>
      <charset val="2"/>
    </font>
    <font>
      <b/>
      <sz val="16"/>
      <name val="Arial"/>
      <family val="2"/>
    </font>
    <font>
      <b/>
      <sz val="10"/>
      <color rgb="FF101BF4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</borders>
  <cellStyleXfs count="46">
    <xf numFmtId="0" fontId="0" fillId="0" borderId="0"/>
    <xf numFmtId="0" fontId="4" fillId="0" borderId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 applyNumberFormat="0" applyFill="0" applyBorder="0" applyProtection="0">
      <alignment vertical="top" wrapText="1"/>
    </xf>
    <xf numFmtId="0" fontId="2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71" fontId="3" fillId="0" borderId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1" fillId="0" borderId="0" applyNumberFormat="0" applyFill="0" applyBorder="0" applyProtection="0">
      <alignment vertical="top" wrapText="1"/>
    </xf>
    <xf numFmtId="0" fontId="3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165" fontId="3" fillId="0" borderId="0" applyFont="0" applyFill="0" applyBorder="0" applyAlignment="0" applyProtection="0"/>
  </cellStyleXfs>
  <cellXfs count="565">
    <xf numFmtId="0" fontId="0" fillId="0" borderId="0" xfId="0"/>
    <xf numFmtId="0" fontId="0" fillId="0" borderId="0" xfId="0" applyAlignment="1">
      <alignment vertical="center"/>
    </xf>
    <xf numFmtId="10" fontId="3" fillId="0" borderId="0" xfId="0" applyNumberFormat="1" applyFont="1" applyAlignment="1">
      <alignment vertical="center"/>
    </xf>
    <xf numFmtId="1" fontId="5" fillId="3" borderId="7" xfId="0" applyNumberFormat="1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0" xfId="29" applyAlignment="1">
      <alignment horizontal="left" vertical="center"/>
    </xf>
    <xf numFmtId="0" fontId="3" fillId="0" borderId="0" xfId="30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10" fontId="19" fillId="0" borderId="0" xfId="0" applyNumberFormat="1" applyFont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14" fontId="19" fillId="0" borderId="0" xfId="0" applyNumberFormat="1" applyFont="1" applyAlignment="1">
      <alignment horizontal="right" vertical="center"/>
    </xf>
    <xf numFmtId="0" fontId="22" fillId="0" borderId="0" xfId="0" applyFont="1"/>
    <xf numFmtId="0" fontId="19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167" fontId="19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0" fontId="19" fillId="0" borderId="0" xfId="0" applyFont="1"/>
    <xf numFmtId="0" fontId="18" fillId="0" borderId="0" xfId="0" applyFont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166" fontId="0" fillId="3" borderId="6" xfId="3" applyFont="1" applyFill="1" applyBorder="1" applyAlignment="1">
      <alignment vertical="center"/>
    </xf>
    <xf numFmtId="166" fontId="0" fillId="3" borderId="7" xfId="3" applyFont="1" applyFill="1" applyBorder="1" applyAlignment="1">
      <alignment vertical="center"/>
    </xf>
    <xf numFmtId="167" fontId="5" fillId="3" borderId="6" xfId="3" applyNumberFormat="1" applyFont="1" applyFill="1" applyBorder="1" applyAlignment="1">
      <alignment horizontal="right" vertical="center"/>
    </xf>
    <xf numFmtId="172" fontId="0" fillId="0" borderId="16" xfId="27" applyNumberFormat="1" applyFont="1" applyFill="1" applyBorder="1" applyAlignment="1">
      <alignment horizontal="right" vertical="center"/>
    </xf>
    <xf numFmtId="172" fontId="0" fillId="0" borderId="24" xfId="8" applyNumberFormat="1" applyFont="1" applyFill="1" applyBorder="1" applyAlignment="1">
      <alignment horizontal="right" vertical="center"/>
    </xf>
    <xf numFmtId="167" fontId="0" fillId="0" borderId="26" xfId="27" applyNumberFormat="1" applyFont="1" applyBorder="1" applyAlignment="1">
      <alignment horizontal="right" vertical="center"/>
    </xf>
    <xf numFmtId="0" fontId="3" fillId="4" borderId="24" xfId="0" applyFont="1" applyFill="1" applyBorder="1" applyAlignment="1">
      <alignment horizontal="left" vertical="center"/>
    </xf>
    <xf numFmtId="4" fontId="0" fillId="4" borderId="16" xfId="27" applyNumberFormat="1" applyFont="1" applyFill="1" applyBorder="1" applyAlignment="1">
      <alignment horizontal="right" vertical="center"/>
    </xf>
    <xf numFmtId="172" fontId="0" fillId="4" borderId="16" xfId="27" applyNumberFormat="1" applyFont="1" applyFill="1" applyBorder="1" applyAlignment="1">
      <alignment horizontal="right" vertical="center"/>
    </xf>
    <xf numFmtId="172" fontId="0" fillId="4" borderId="24" xfId="8" applyNumberFormat="1" applyFont="1" applyFill="1" applyBorder="1" applyAlignment="1">
      <alignment horizontal="right" vertical="center"/>
    </xf>
    <xf numFmtId="167" fontId="0" fillId="4" borderId="26" xfId="27" applyNumberFormat="1" applyFont="1" applyFill="1" applyBorder="1" applyAlignment="1">
      <alignment horizontal="right" vertical="center"/>
    </xf>
    <xf numFmtId="4" fontId="0" fillId="0" borderId="16" xfId="27" applyNumberFormat="1" applyFont="1" applyFill="1" applyBorder="1" applyAlignment="1">
      <alignment horizontal="right" vertical="center"/>
    </xf>
    <xf numFmtId="4" fontId="0" fillId="4" borderId="24" xfId="27" applyNumberFormat="1" applyFont="1" applyFill="1" applyBorder="1" applyAlignment="1">
      <alignment horizontal="right" vertical="center"/>
    </xf>
    <xf numFmtId="172" fontId="0" fillId="4" borderId="24" xfId="27" applyNumberFormat="1" applyFont="1" applyFill="1" applyBorder="1" applyAlignment="1">
      <alignment horizontal="right" vertical="center"/>
    </xf>
    <xf numFmtId="4" fontId="0" fillId="4" borderId="26" xfId="27" applyNumberFormat="1" applyFont="1" applyFill="1" applyBorder="1" applyAlignment="1">
      <alignment horizontal="right" vertical="center"/>
    </xf>
    <xf numFmtId="172" fontId="0" fillId="4" borderId="26" xfId="27" applyNumberFormat="1" applyFont="1" applyFill="1" applyBorder="1" applyAlignment="1">
      <alignment horizontal="right" vertical="center"/>
    </xf>
    <xf numFmtId="172" fontId="0" fillId="4" borderId="5" xfId="8" applyNumberFormat="1" applyFont="1" applyFill="1" applyBorder="1" applyAlignment="1">
      <alignment horizontal="right" vertical="center"/>
    </xf>
    <xf numFmtId="0" fontId="24" fillId="0" borderId="0" xfId="30" applyFont="1" applyAlignment="1">
      <alignment vertical="center"/>
    </xf>
    <xf numFmtId="2" fontId="3" fillId="4" borderId="27" xfId="0" applyNumberFormat="1" applyFont="1" applyFill="1" applyBorder="1" applyAlignment="1">
      <alignment horizontal="center" vertical="center"/>
    </xf>
    <xf numFmtId="4" fontId="0" fillId="0" borderId="26" xfId="27" applyNumberFormat="1" applyFont="1" applyFill="1" applyBorder="1" applyAlignment="1">
      <alignment horizontal="right" vertical="center"/>
    </xf>
    <xf numFmtId="172" fontId="0" fillId="0" borderId="26" xfId="27" applyNumberFormat="1" applyFont="1" applyFill="1" applyBorder="1" applyAlignment="1">
      <alignment horizontal="right" vertical="center"/>
    </xf>
    <xf numFmtId="172" fontId="0" fillId="0" borderId="5" xfId="8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 wrapText="1"/>
    </xf>
    <xf numFmtId="2" fontId="3" fillId="0" borderId="5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left" vertical="center" wrapText="1"/>
    </xf>
    <xf numFmtId="4" fontId="5" fillId="2" borderId="0" xfId="0" applyNumberFormat="1" applyFont="1" applyFill="1" applyAlignment="1">
      <alignment horizontal="right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6" fillId="0" borderId="0" xfId="0" applyNumberFormat="1" applyFont="1"/>
    <xf numFmtId="4" fontId="16" fillId="0" borderId="0" xfId="0" applyNumberFormat="1" applyFont="1"/>
    <xf numFmtId="4" fontId="5" fillId="3" borderId="7" xfId="0" applyNumberFormat="1" applyFont="1" applyFill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27" applyNumberFormat="1" applyFont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left" vertical="center"/>
    </xf>
    <xf numFmtId="4" fontId="3" fillId="2" borderId="0" xfId="0" applyNumberFormat="1" applyFont="1" applyFill="1" applyAlignment="1">
      <alignment horizontal="justify" vertical="justify"/>
    </xf>
    <xf numFmtId="4" fontId="0" fillId="2" borderId="0" xfId="0" applyNumberFormat="1" applyFill="1" applyAlignment="1">
      <alignment horizontal="center" vertical="center"/>
    </xf>
    <xf numFmtId="4" fontId="0" fillId="2" borderId="0" xfId="27" applyNumberFormat="1" applyFont="1" applyFill="1" applyBorder="1" applyAlignment="1">
      <alignment horizontal="right" vertical="center"/>
    </xf>
    <xf numFmtId="4" fontId="3" fillId="2" borderId="6" xfId="27" applyNumberFormat="1" applyFont="1" applyFill="1" applyBorder="1" applyAlignment="1">
      <alignment horizontal="left" vertical="center"/>
    </xf>
    <xf numFmtId="4" fontId="5" fillId="2" borderId="0" xfId="27" applyNumberFormat="1" applyFont="1" applyFill="1" applyBorder="1" applyAlignment="1">
      <alignment horizontal="left" vertical="center"/>
    </xf>
    <xf numFmtId="4" fontId="3" fillId="2" borderId="0" xfId="0" quotePrefix="1" applyNumberFormat="1" applyFont="1" applyFill="1" applyAlignment="1">
      <alignment horizontal="center" vertical="center"/>
    </xf>
    <xf numFmtId="4" fontId="3" fillId="4" borderId="15" xfId="0" applyNumberFormat="1" applyFont="1" applyFill="1" applyBorder="1" applyAlignment="1">
      <alignment horizontal="center" vertical="center"/>
    </xf>
    <xf numFmtId="4" fontId="0" fillId="4" borderId="16" xfId="27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6" xfId="27" applyNumberFormat="1" applyFont="1" applyBorder="1" applyAlignment="1">
      <alignment horizontal="center" vertical="center"/>
    </xf>
    <xf numFmtId="4" fontId="3" fillId="2" borderId="0" xfId="27" applyNumberFormat="1" applyFont="1" applyFill="1" applyBorder="1" applyAlignment="1">
      <alignment horizontal="left" vertical="center"/>
    </xf>
    <xf numFmtId="4" fontId="3" fillId="4" borderId="16" xfId="27" applyNumberFormat="1" applyFont="1" applyFill="1" applyBorder="1" applyAlignment="1">
      <alignment horizontal="center" vertical="center"/>
    </xf>
    <xf numFmtId="4" fontId="3" fillId="0" borderId="16" xfId="27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4" fontId="3" fillId="0" borderId="0" xfId="0" applyNumberFormat="1" applyFont="1" applyAlignment="1">
      <alignment vertical="center"/>
    </xf>
    <xf numFmtId="4" fontId="3" fillId="0" borderId="24" xfId="0" applyNumberFormat="1" applyFont="1" applyBorder="1" applyAlignment="1">
      <alignment horizontal="justify" vertical="justify"/>
    </xf>
    <xf numFmtId="4" fontId="3" fillId="4" borderId="24" xfId="0" applyNumberFormat="1" applyFont="1" applyFill="1" applyBorder="1" applyAlignment="1">
      <alignment horizontal="justify" vertical="justify"/>
    </xf>
    <xf numFmtId="4" fontId="3" fillId="0" borderId="5" xfId="0" applyNumberFormat="1" applyFont="1" applyBorder="1" applyAlignment="1">
      <alignment horizontal="justify" vertical="justify"/>
    </xf>
    <xf numFmtId="173" fontId="0" fillId="2" borderId="6" xfId="0" applyNumberFormat="1" applyFill="1" applyBorder="1" applyAlignment="1">
      <alignment horizontal="right" vertical="center"/>
    </xf>
    <xf numFmtId="4" fontId="3" fillId="0" borderId="27" xfId="0" applyNumberFormat="1" applyFont="1" applyBorder="1" applyAlignment="1">
      <alignment horizontal="center" vertical="center"/>
    </xf>
    <xf numFmtId="4" fontId="0" fillId="2" borderId="0" xfId="0" applyNumberFormat="1" applyFill="1" applyAlignment="1">
      <alignment horizontal="left" vertical="center"/>
    </xf>
    <xf numFmtId="4" fontId="0" fillId="2" borderId="6" xfId="0" applyNumberFormat="1" applyFill="1" applyBorder="1" applyAlignment="1">
      <alignment horizontal="left" vertical="center"/>
    </xf>
    <xf numFmtId="4" fontId="0" fillId="4" borderId="5" xfId="27" applyNumberFormat="1" applyFont="1" applyFill="1" applyBorder="1" applyAlignment="1">
      <alignment horizontal="right" vertical="center"/>
    </xf>
    <xf numFmtId="172" fontId="0" fillId="4" borderId="5" xfId="27" applyNumberFormat="1" applyFont="1" applyFill="1" applyBorder="1" applyAlignment="1">
      <alignment horizontal="right" vertical="center"/>
    </xf>
    <xf numFmtId="14" fontId="5" fillId="0" borderId="0" xfId="30" applyNumberFormat="1" applyFont="1" applyAlignment="1">
      <alignment horizontal="center" vertical="center"/>
    </xf>
    <xf numFmtId="0" fontId="27" fillId="0" borderId="0" xfId="30" applyFont="1" applyAlignment="1">
      <alignment horizontal="left"/>
    </xf>
    <xf numFmtId="0" fontId="3" fillId="0" borderId="0" xfId="30"/>
    <xf numFmtId="0" fontId="3" fillId="0" borderId="0" xfId="0" applyFont="1"/>
    <xf numFmtId="4" fontId="27" fillId="0" borderId="0" xfId="30" applyNumberFormat="1" applyFont="1" applyAlignment="1">
      <alignment horizontal="left"/>
    </xf>
    <xf numFmtId="14" fontId="27" fillId="0" borderId="0" xfId="30" applyNumberFormat="1" applyFont="1" applyAlignment="1">
      <alignment horizontal="left"/>
    </xf>
    <xf numFmtId="0" fontId="3" fillId="0" borderId="0" xfId="30" applyAlignment="1">
      <alignment horizontal="left"/>
    </xf>
    <xf numFmtId="0" fontId="5" fillId="0" borderId="11" xfId="30" applyFont="1" applyBorder="1" applyAlignment="1">
      <alignment vertical="center"/>
    </xf>
    <xf numFmtId="0" fontId="28" fillId="0" borderId="10" xfId="30" applyFont="1" applyBorder="1" applyAlignment="1">
      <alignment horizontal="justify" vertical="justify"/>
    </xf>
    <xf numFmtId="0" fontId="5" fillId="0" borderId="11" xfId="30" applyFont="1" applyBorder="1"/>
    <xf numFmtId="0" fontId="12" fillId="0" borderId="9" xfId="30" applyFont="1" applyBorder="1" applyAlignment="1">
      <alignment horizontal="center"/>
    </xf>
    <xf numFmtId="0" fontId="12" fillId="0" borderId="32" xfId="30" applyFont="1" applyBorder="1" applyAlignment="1">
      <alignment horizontal="center"/>
    </xf>
    <xf numFmtId="0" fontId="12" fillId="0" borderId="1" xfId="30" applyFont="1" applyBorder="1" applyAlignment="1">
      <alignment horizontal="center"/>
    </xf>
    <xf numFmtId="0" fontId="12" fillId="0" borderId="7" xfId="30" applyFont="1" applyBorder="1" applyAlignment="1">
      <alignment horizontal="center"/>
    </xf>
    <xf numFmtId="0" fontId="12" fillId="0" borderId="6" xfId="30" applyFont="1" applyBorder="1" applyAlignment="1">
      <alignment horizontal="center"/>
    </xf>
    <xf numFmtId="0" fontId="12" fillId="0" borderId="0" xfId="30" applyFont="1"/>
    <xf numFmtId="1" fontId="5" fillId="5" borderId="33" xfId="27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4" fontId="3" fillId="5" borderId="33" xfId="0" applyNumberFormat="1" applyFont="1" applyFill="1" applyBorder="1" applyAlignment="1">
      <alignment horizontal="center" vertical="center"/>
    </xf>
    <xf numFmtId="2" fontId="3" fillId="5" borderId="33" xfId="27" applyNumberFormat="1" applyFont="1" applyFill="1" applyBorder="1" applyAlignment="1">
      <alignment horizontal="center" vertical="center"/>
    </xf>
    <xf numFmtId="4" fontId="3" fillId="5" borderId="33" xfId="27" applyNumberFormat="1" applyFont="1" applyFill="1" applyBorder="1" applyAlignment="1">
      <alignment horizontal="center" vertical="center"/>
    </xf>
    <xf numFmtId="4" fontId="3" fillId="5" borderId="33" xfId="30" applyNumberFormat="1" applyFill="1" applyBorder="1" applyAlignment="1">
      <alignment horizontal="center" vertical="center"/>
    </xf>
    <xf numFmtId="4" fontId="3" fillId="5" borderId="33" xfId="30" applyNumberFormat="1" applyFill="1" applyBorder="1" applyAlignment="1">
      <alignment horizontal="right"/>
    </xf>
    <xf numFmtId="172" fontId="5" fillId="5" borderId="33" xfId="27" applyNumberFormat="1" applyFont="1" applyFill="1" applyBorder="1" applyAlignment="1">
      <alignment horizontal="right" vertical="center"/>
    </xf>
    <xf numFmtId="172" fontId="0" fillId="0" borderId="5" xfId="34" applyNumberFormat="1" applyFont="1" applyBorder="1" applyAlignment="1">
      <alignment horizontal="center" vertical="center"/>
    </xf>
    <xf numFmtId="0" fontId="3" fillId="0" borderId="5" xfId="29" applyBorder="1" applyAlignment="1">
      <alignment horizontal="justify" vertical="justify"/>
    </xf>
    <xf numFmtId="4" fontId="3" fillId="0" borderId="5" xfId="29" applyNumberFormat="1" applyBorder="1" applyAlignment="1">
      <alignment horizontal="center" vertical="center"/>
    </xf>
    <xf numFmtId="172" fontId="0" fillId="0" borderId="5" xfId="34" applyNumberFormat="1" applyFont="1" applyBorder="1" applyAlignment="1">
      <alignment horizontal="right" vertical="center"/>
    </xf>
    <xf numFmtId="4" fontId="3" fillId="0" borderId="5" xfId="29" applyNumberFormat="1" applyBorder="1" applyAlignment="1">
      <alignment horizontal="right" vertical="center"/>
    </xf>
    <xf numFmtId="4" fontId="29" fillId="0" borderId="5" xfId="35" applyNumberFormat="1" applyFont="1" applyBorder="1" applyAlignment="1">
      <alignment horizontal="right" vertical="center"/>
    </xf>
    <xf numFmtId="4" fontId="3" fillId="0" borderId="5" xfId="30" applyNumberFormat="1" applyBorder="1" applyAlignment="1">
      <alignment horizontal="right" vertical="center"/>
    </xf>
    <xf numFmtId="167" fontId="0" fillId="0" borderId="5" xfId="27" applyNumberFormat="1" applyFont="1" applyBorder="1" applyAlignment="1">
      <alignment horizontal="right" vertical="center"/>
    </xf>
    <xf numFmtId="0" fontId="5" fillId="0" borderId="0" xfId="0" applyFont="1"/>
    <xf numFmtId="0" fontId="3" fillId="0" borderId="0" xfId="29" applyAlignment="1">
      <alignment horizontal="center" vertical="center"/>
    </xf>
    <xf numFmtId="8" fontId="5" fillId="0" borderId="1" xfId="0" applyNumberFormat="1" applyFont="1" applyBorder="1"/>
    <xf numFmtId="0" fontId="3" fillId="0" borderId="0" xfId="29"/>
    <xf numFmtId="0" fontId="3" fillId="0" borderId="0" xfId="29" applyAlignment="1">
      <alignment horizontal="center"/>
    </xf>
    <xf numFmtId="0" fontId="5" fillId="0" borderId="0" xfId="29" applyFont="1" applyAlignment="1">
      <alignment horizontal="center"/>
    </xf>
    <xf numFmtId="0" fontId="5" fillId="0" borderId="34" xfId="30" applyFont="1" applyBorder="1" applyAlignment="1">
      <alignment horizontal="left"/>
    </xf>
    <xf numFmtId="0" fontId="5" fillId="0" borderId="8" xfId="30" applyFont="1" applyBorder="1" applyAlignment="1">
      <alignment horizontal="left"/>
    </xf>
    <xf numFmtId="0" fontId="5" fillId="0" borderId="31" xfId="30" applyFont="1" applyBorder="1" applyAlignment="1">
      <alignment horizontal="left"/>
    </xf>
    <xf numFmtId="0" fontId="5" fillId="0" borderId="9" xfId="30" applyFont="1" applyBorder="1"/>
    <xf numFmtId="0" fontId="0" fillId="0" borderId="6" xfId="0" applyBorder="1"/>
    <xf numFmtId="0" fontId="5" fillId="0" borderId="6" xfId="30" applyFont="1" applyBorder="1" applyAlignment="1">
      <alignment horizontal="left"/>
    </xf>
    <xf numFmtId="0" fontId="5" fillId="0" borderId="7" xfId="30" applyFont="1" applyBorder="1" applyAlignment="1">
      <alignment horizontal="left"/>
    </xf>
    <xf numFmtId="0" fontId="5" fillId="0" borderId="33" xfId="30" applyFont="1" applyBorder="1" applyAlignment="1">
      <alignment horizontal="center" vertical="center" wrapText="1"/>
    </xf>
    <xf numFmtId="0" fontId="5" fillId="0" borderId="32" xfId="30" applyFont="1" applyBorder="1" applyAlignment="1">
      <alignment horizontal="center" vertical="center" wrapText="1"/>
    </xf>
    <xf numFmtId="10" fontId="5" fillId="0" borderId="32" xfId="30" applyNumberFormat="1" applyFont="1" applyBorder="1" applyAlignment="1">
      <alignment horizontal="center" vertical="center" wrapText="1"/>
    </xf>
    <xf numFmtId="174" fontId="5" fillId="5" borderId="32" xfId="30" applyNumberFormat="1" applyFont="1" applyFill="1" applyBorder="1" applyAlignment="1">
      <alignment horizontal="center" vertical="center" wrapText="1"/>
    </xf>
    <xf numFmtId="10" fontId="5" fillId="5" borderId="32" xfId="30" applyNumberFormat="1" applyFont="1" applyFill="1" applyBorder="1" applyAlignment="1">
      <alignment horizontal="center" vertical="center" wrapText="1"/>
    </xf>
    <xf numFmtId="10" fontId="5" fillId="0" borderId="0" xfId="30" applyNumberFormat="1" applyFont="1" applyAlignment="1">
      <alignment horizontal="center" vertical="center" wrapText="1"/>
    </xf>
    <xf numFmtId="0" fontId="5" fillId="0" borderId="1" xfId="30" applyFont="1" applyBorder="1" applyAlignment="1">
      <alignment horizontal="center" vertical="center"/>
    </xf>
    <xf numFmtId="0" fontId="5" fillId="0" borderId="1" xfId="30" applyFont="1" applyBorder="1" applyAlignment="1">
      <alignment horizontal="left" vertical="center"/>
    </xf>
    <xf numFmtId="174" fontId="5" fillId="0" borderId="1" xfId="36" applyNumberFormat="1" applyFont="1" applyFill="1" applyBorder="1" applyAlignment="1">
      <alignment horizontal="right" vertical="center"/>
    </xf>
    <xf numFmtId="10" fontId="5" fillId="0" borderId="1" xfId="27" applyNumberFormat="1" applyFont="1" applyBorder="1" applyAlignment="1">
      <alignment horizontal="right"/>
    </xf>
    <xf numFmtId="174" fontId="3" fillId="5" borderId="1" xfId="36" applyNumberFormat="1" applyFont="1" applyFill="1" applyBorder="1" applyAlignment="1">
      <alignment horizontal="right" vertical="center"/>
    </xf>
    <xf numFmtId="10" fontId="3" fillId="5" borderId="1" xfId="36" applyNumberFormat="1" applyFont="1" applyFill="1" applyBorder="1" applyAlignment="1">
      <alignment horizontal="right" vertical="center"/>
    </xf>
    <xf numFmtId="10" fontId="3" fillId="0" borderId="0" xfId="36" applyNumberFormat="1" applyFont="1" applyFill="1" applyBorder="1" applyAlignment="1">
      <alignment horizontal="right" vertical="center"/>
    </xf>
    <xf numFmtId="167" fontId="5" fillId="0" borderId="1" xfId="30" applyNumberFormat="1" applyFont="1" applyBorder="1" applyAlignment="1">
      <alignment horizontal="right"/>
    </xf>
    <xf numFmtId="10" fontId="5" fillId="0" borderId="1" xfId="27" applyNumberFormat="1" applyFont="1" applyBorder="1" applyAlignment="1">
      <alignment horizontal="right" vertical="center"/>
    </xf>
    <xf numFmtId="174" fontId="5" fillId="5" borderId="1" xfId="37" applyNumberFormat="1" applyFont="1" applyFill="1" applyBorder="1" applyAlignment="1">
      <alignment horizontal="right" vertical="center"/>
    </xf>
    <xf numFmtId="10" fontId="5" fillId="5" borderId="1" xfId="36" applyNumberFormat="1" applyFont="1" applyFill="1" applyBorder="1" applyAlignment="1">
      <alignment horizontal="right" vertical="center"/>
    </xf>
    <xf numFmtId="10" fontId="5" fillId="5" borderId="1" xfId="37" applyNumberFormat="1" applyFont="1" applyFill="1" applyBorder="1" applyAlignment="1">
      <alignment horizontal="right" vertical="center"/>
    </xf>
    <xf numFmtId="1" fontId="5" fillId="0" borderId="1" xfId="30" applyNumberFormat="1" applyFont="1" applyBorder="1" applyAlignment="1">
      <alignment horizontal="center" vertical="center"/>
    </xf>
    <xf numFmtId="4" fontId="28" fillId="0" borderId="10" xfId="30" applyNumberFormat="1" applyFont="1" applyBorder="1" applyAlignment="1">
      <alignment horizontal="justify" vertical="justify"/>
    </xf>
    <xf numFmtId="1" fontId="5" fillId="0" borderId="1" xfId="30" applyNumberFormat="1" applyFont="1" applyBorder="1" applyAlignment="1">
      <alignment horizontal="left" vertical="center"/>
    </xf>
    <xf numFmtId="10" fontId="3" fillId="0" borderId="5" xfId="33" applyNumberFormat="1" applyFont="1" applyBorder="1" applyAlignment="1">
      <alignment horizontal="right" vertical="center"/>
    </xf>
    <xf numFmtId="10" fontId="29" fillId="0" borderId="5" xfId="33" applyNumberFormat="1" applyFont="1" applyBorder="1" applyAlignment="1">
      <alignment horizontal="right" vertical="center"/>
    </xf>
    <xf numFmtId="4" fontId="5" fillId="2" borderId="0" xfId="0" applyNumberFormat="1" applyFont="1" applyFill="1" applyAlignment="1">
      <alignment horizontal="right" vertical="center"/>
    </xf>
    <xf numFmtId="4" fontId="14" fillId="2" borderId="0" xfId="0" applyNumberFormat="1" applyFont="1" applyFill="1" applyAlignment="1">
      <alignment horizontal="left" vertical="center"/>
    </xf>
    <xf numFmtId="4" fontId="0" fillId="2" borderId="6" xfId="0" applyNumberFormat="1" applyFill="1" applyBorder="1" applyAlignment="1">
      <alignment horizontal="right" vertical="center"/>
    </xf>
    <xf numFmtId="4" fontId="0" fillId="2" borderId="0" xfId="0" applyNumberFormat="1" applyFill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4" fontId="0" fillId="0" borderId="16" xfId="27" applyNumberFormat="1" applyFont="1" applyFill="1" applyBorder="1" applyAlignment="1">
      <alignment horizontal="center" vertical="center"/>
    </xf>
    <xf numFmtId="4" fontId="3" fillId="0" borderId="0" xfId="30" applyNumberFormat="1" applyAlignment="1">
      <alignment vertical="center"/>
    </xf>
    <xf numFmtId="173" fontId="3" fillId="0" borderId="0" xfId="30" applyNumberFormat="1" applyAlignment="1">
      <alignment vertical="center"/>
    </xf>
    <xf numFmtId="175" fontId="3" fillId="0" borderId="0" xfId="30" applyNumberFormat="1" applyAlignment="1">
      <alignment vertical="center"/>
    </xf>
    <xf numFmtId="4" fontId="5" fillId="2" borderId="0" xfId="27" applyNumberFormat="1" applyFon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2" fontId="3" fillId="0" borderId="24" xfId="0" applyNumberFormat="1" applyFont="1" applyBorder="1" applyAlignment="1">
      <alignment horizontal="left" vertical="center" wrapText="1"/>
    </xf>
    <xf numFmtId="2" fontId="3" fillId="4" borderId="24" xfId="0" applyNumberFormat="1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10" fontId="0" fillId="0" borderId="16" xfId="33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4" fontId="3" fillId="4" borderId="24" xfId="0" applyNumberFormat="1" applyFont="1" applyFill="1" applyBorder="1" applyAlignment="1">
      <alignment horizontal="justify" vertical="center"/>
    </xf>
    <xf numFmtId="2" fontId="3" fillId="4" borderId="5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justify" vertical="center"/>
    </xf>
    <xf numFmtId="4" fontId="0" fillId="0" borderId="24" xfId="27" applyNumberFormat="1" applyFont="1" applyFill="1" applyBorder="1" applyAlignment="1">
      <alignment horizontal="right" vertical="center"/>
    </xf>
    <xf numFmtId="172" fontId="0" fillId="0" borderId="24" xfId="27" applyNumberFormat="1" applyFont="1" applyFill="1" applyBorder="1" applyAlignment="1">
      <alignment horizontal="right" vertical="center"/>
    </xf>
    <xf numFmtId="167" fontId="0" fillId="0" borderId="26" xfId="27" applyNumberFormat="1" applyFont="1" applyFill="1" applyBorder="1" applyAlignment="1">
      <alignment horizontal="right" vertical="center"/>
    </xf>
    <xf numFmtId="4" fontId="0" fillId="2" borderId="0" xfId="0" applyNumberFormat="1" applyFill="1" applyAlignment="1">
      <alignment vertical="center"/>
    </xf>
    <xf numFmtId="4" fontId="5" fillId="0" borderId="0" xfId="30" applyNumberFormat="1" applyFont="1" applyAlignment="1">
      <alignment vertical="center"/>
    </xf>
    <xf numFmtId="4" fontId="3" fillId="0" borderId="0" xfId="30" applyNumberFormat="1"/>
    <xf numFmtId="0" fontId="33" fillId="0" borderId="0" xfId="30" applyFont="1" applyAlignment="1">
      <alignment vertical="center"/>
    </xf>
    <xf numFmtId="0" fontId="12" fillId="0" borderId="0" xfId="30" applyFont="1" applyAlignment="1">
      <alignment vertical="center"/>
    </xf>
    <xf numFmtId="0" fontId="6" fillId="0" borderId="0" xfId="30" applyFont="1" applyAlignment="1">
      <alignment vertical="center"/>
    </xf>
    <xf numFmtId="0" fontId="33" fillId="0" borderId="0" xfId="30" applyFont="1" applyAlignment="1">
      <alignment horizontal="left" vertical="center"/>
    </xf>
    <xf numFmtId="0" fontId="12" fillId="0" borderId="0" xfId="30" applyFont="1" applyAlignment="1">
      <alignment horizontal="left" vertical="center"/>
    </xf>
    <xf numFmtId="0" fontId="34" fillId="0" borderId="0" xfId="30" applyFont="1" applyAlignment="1">
      <alignment horizontal="center" vertical="center"/>
    </xf>
    <xf numFmtId="0" fontId="24" fillId="0" borderId="0" xfId="30" applyFont="1" applyAlignment="1">
      <alignment vertical="center" wrapText="1"/>
    </xf>
    <xf numFmtId="171" fontId="35" fillId="0" borderId="1" xfId="31" applyFont="1" applyFill="1" applyBorder="1" applyAlignment="1" applyProtection="1">
      <alignment horizontal="center" vertical="center" wrapText="1"/>
    </xf>
    <xf numFmtId="0" fontId="24" fillId="0" borderId="1" xfId="30" applyFont="1" applyBorder="1" applyAlignment="1">
      <alignment horizontal="center" vertical="center"/>
    </xf>
    <xf numFmtId="10" fontId="24" fillId="0" borderId="1" xfId="32" applyNumberFormat="1" applyFont="1" applyFill="1" applyBorder="1" applyAlignment="1" applyProtection="1">
      <alignment vertical="center"/>
      <protection locked="0"/>
    </xf>
    <xf numFmtId="10" fontId="24" fillId="0" borderId="1" xfId="31" applyNumberFormat="1" applyFont="1" applyFill="1" applyBorder="1" applyAlignment="1" applyProtection="1">
      <alignment vertical="center"/>
      <protection locked="0"/>
    </xf>
    <xf numFmtId="10" fontId="35" fillId="0" borderId="1" xfId="31" applyNumberFormat="1" applyFont="1" applyFill="1" applyBorder="1" applyAlignment="1" applyProtection="1">
      <alignment vertical="center"/>
      <protection locked="0"/>
    </xf>
    <xf numFmtId="10" fontId="24" fillId="4" borderId="1" xfId="31" applyNumberFormat="1" applyFont="1" applyFill="1" applyBorder="1" applyAlignment="1" applyProtection="1">
      <alignment vertical="center"/>
      <protection locked="0"/>
    </xf>
    <xf numFmtId="171" fontId="24" fillId="0" borderId="1" xfId="31" applyFont="1" applyFill="1" applyBorder="1" applyAlignment="1" applyProtection="1">
      <alignment vertical="center"/>
      <protection locked="0"/>
    </xf>
    <xf numFmtId="0" fontId="35" fillId="0" borderId="1" xfId="30" applyFont="1" applyBorder="1" applyAlignment="1">
      <alignment vertical="center"/>
    </xf>
    <xf numFmtId="10" fontId="35" fillId="5" borderId="1" xfId="31" applyNumberFormat="1" applyFont="1" applyFill="1" applyBorder="1" applyAlignment="1" applyProtection="1">
      <alignment horizontal="center" vertical="center"/>
      <protection locked="0"/>
    </xf>
    <xf numFmtId="0" fontId="35" fillId="0" borderId="0" xfId="30" applyFont="1" applyAlignment="1">
      <alignment vertical="center"/>
    </xf>
    <xf numFmtId="0" fontId="35" fillId="0" borderId="0" xfId="30" applyFont="1" applyAlignment="1">
      <alignment horizontal="center" vertical="center"/>
    </xf>
    <xf numFmtId="0" fontId="35" fillId="0" borderId="0" xfId="30" applyFont="1" applyAlignment="1">
      <alignment horizontal="left" vertical="center"/>
    </xf>
    <xf numFmtId="0" fontId="24" fillId="0" borderId="0" xfId="30" applyFont="1" applyAlignment="1">
      <alignment horizontal="left" vertical="center"/>
    </xf>
    <xf numFmtId="0" fontId="18" fillId="0" borderId="0" xfId="30" applyFont="1" applyAlignment="1">
      <alignment vertical="center"/>
    </xf>
    <xf numFmtId="0" fontId="36" fillId="0" borderId="0" xfId="30" applyFont="1" applyAlignment="1">
      <alignment horizontal="center" vertical="center"/>
    </xf>
    <xf numFmtId="0" fontId="24" fillId="0" borderId="0" xfId="31" applyNumberFormat="1" applyFont="1" applyFill="1" applyBorder="1" applyAlignment="1" applyProtection="1">
      <alignment vertical="center" wrapText="1"/>
    </xf>
    <xf numFmtId="171" fontId="24" fillId="0" borderId="0" xfId="31" applyFont="1" applyFill="1" applyBorder="1" applyAlignment="1" applyProtection="1">
      <alignment vertical="center"/>
    </xf>
    <xf numFmtId="0" fontId="7" fillId="0" borderId="0" xfId="30" applyFont="1" applyAlignment="1">
      <alignment horizontal="center" vertical="center"/>
    </xf>
    <xf numFmtId="2" fontId="5" fillId="5" borderId="4" xfId="30" applyNumberFormat="1" applyFont="1" applyFill="1" applyBorder="1" applyAlignment="1">
      <alignment horizontal="left" vertical="center" wrapText="1"/>
    </xf>
    <xf numFmtId="2" fontId="5" fillId="5" borderId="2" xfId="30" applyNumberFormat="1" applyFont="1" applyFill="1" applyBorder="1" applyAlignment="1">
      <alignment horizontal="center" vertical="center"/>
    </xf>
    <xf numFmtId="0" fontId="17" fillId="4" borderId="18" xfId="30" applyFont="1" applyFill="1" applyBorder="1" applyAlignment="1">
      <alignment horizontal="center" vertical="center"/>
    </xf>
    <xf numFmtId="0" fontId="13" fillId="4" borderId="19" xfId="30" applyFont="1" applyFill="1" applyBorder="1" applyAlignment="1">
      <alignment horizontal="center" vertical="center"/>
    </xf>
    <xf numFmtId="165" fontId="13" fillId="4" borderId="19" xfId="45" applyFont="1" applyFill="1" applyBorder="1" applyAlignment="1">
      <alignment horizontal="center" vertical="center"/>
    </xf>
    <xf numFmtId="165" fontId="13" fillId="4" borderId="20" xfId="45" applyFont="1" applyFill="1" applyBorder="1" applyAlignment="1">
      <alignment horizontal="center" vertical="center"/>
    </xf>
    <xf numFmtId="0" fontId="20" fillId="0" borderId="18" xfId="30" applyFont="1" applyBorder="1" applyAlignment="1">
      <alignment horizontal="left" vertical="center"/>
    </xf>
    <xf numFmtId="0" fontId="20" fillId="0" borderId="19" xfId="30" applyFont="1" applyBorder="1" applyAlignment="1">
      <alignment vertical="center"/>
    </xf>
    <xf numFmtId="0" fontId="20" fillId="0" borderId="19" xfId="30" applyFont="1" applyBorder="1" applyAlignment="1">
      <alignment horizontal="center" vertical="center"/>
    </xf>
    <xf numFmtId="170" fontId="20" fillId="0" borderId="19" xfId="30" applyNumberFormat="1" applyFont="1" applyBorder="1" applyAlignment="1">
      <alignment vertical="center"/>
    </xf>
    <xf numFmtId="170" fontId="20" fillId="0" borderId="20" xfId="45" applyNumberFormat="1" applyFont="1" applyBorder="1" applyAlignment="1">
      <alignment vertical="center"/>
    </xf>
    <xf numFmtId="170" fontId="13" fillId="4" borderId="20" xfId="45" applyNumberFormat="1" applyFont="1" applyFill="1" applyBorder="1" applyAlignment="1">
      <alignment vertical="center"/>
    </xf>
    <xf numFmtId="170" fontId="13" fillId="4" borderId="23" xfId="45" applyNumberFormat="1" applyFont="1" applyFill="1" applyBorder="1" applyAlignment="1">
      <alignment vertical="center"/>
    </xf>
    <xf numFmtId="172" fontId="19" fillId="0" borderId="0" xfId="27" applyNumberFormat="1" applyFont="1" applyFill="1" applyBorder="1" applyAlignment="1">
      <alignment horizontal="right" vertical="center"/>
    </xf>
    <xf numFmtId="172" fontId="25" fillId="0" borderId="0" xfId="27" applyNumberFormat="1" applyFont="1" applyFill="1" applyBorder="1" applyAlignment="1">
      <alignment horizontal="right" vertical="center"/>
    </xf>
    <xf numFmtId="10" fontId="25" fillId="0" borderId="0" xfId="29" applyNumberFormat="1" applyFont="1" applyAlignment="1">
      <alignment vertical="center" wrapText="1"/>
    </xf>
    <xf numFmtId="4" fontId="5" fillId="2" borderId="0" xfId="0" applyNumberFormat="1" applyFont="1" applyFill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4" fontId="0" fillId="2" borderId="0" xfId="0" applyNumberFormat="1" applyFill="1" applyAlignment="1">
      <alignment horizontal="right" vertical="center"/>
    </xf>
    <xf numFmtId="4" fontId="0" fillId="2" borderId="6" xfId="0" applyNumberFormat="1" applyFill="1" applyBorder="1" applyAlignment="1">
      <alignment horizontal="right" vertical="center"/>
    </xf>
    <xf numFmtId="4" fontId="5" fillId="2" borderId="0" xfId="0" applyNumberFormat="1" applyFont="1" applyFill="1" applyAlignment="1">
      <alignment horizontal="right" vertical="center"/>
    </xf>
    <xf numFmtId="4" fontId="0" fillId="2" borderId="6" xfId="0" applyNumberFormat="1" applyFill="1" applyBorder="1" applyAlignment="1">
      <alignment horizontal="right" vertical="center"/>
    </xf>
    <xf numFmtId="4" fontId="3" fillId="0" borderId="15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4" fontId="0" fillId="2" borderId="6" xfId="0" applyNumberFormat="1" applyFill="1" applyBorder="1" applyAlignment="1">
      <alignment vertical="center"/>
    </xf>
    <xf numFmtId="0" fontId="33" fillId="0" borderId="0" xfId="30" applyFont="1" applyAlignment="1">
      <alignment horizontal="left" vertical="center"/>
    </xf>
    <xf numFmtId="4" fontId="3" fillId="2" borderId="0" xfId="0" applyNumberFormat="1" applyFont="1" applyFill="1" applyBorder="1" applyAlignment="1">
      <alignment horizontal="right" vertical="center"/>
    </xf>
    <xf numFmtId="4" fontId="0" fillId="2" borderId="0" xfId="0" applyNumberFormat="1" applyFill="1" applyBorder="1" applyAlignment="1">
      <alignment horizontal="right" vertical="center"/>
    </xf>
    <xf numFmtId="4" fontId="14" fillId="2" borderId="0" xfId="0" applyNumberFormat="1" applyFont="1" applyFill="1" applyAlignment="1">
      <alignment horizontal="left" vertical="center"/>
    </xf>
    <xf numFmtId="4" fontId="5" fillId="2" borderId="0" xfId="0" applyNumberFormat="1" applyFont="1" applyFill="1" applyAlignment="1">
      <alignment horizontal="right" vertical="center"/>
    </xf>
    <xf numFmtId="4" fontId="0" fillId="2" borderId="6" xfId="0" applyNumberFormat="1" applyFill="1" applyBorder="1" applyAlignment="1">
      <alignment horizontal="right" vertical="center"/>
    </xf>
    <xf numFmtId="172" fontId="3" fillId="0" borderId="0" xfId="30" applyNumberFormat="1" applyAlignment="1">
      <alignment vertical="center"/>
    </xf>
    <xf numFmtId="176" fontId="20" fillId="0" borderId="19" xfId="30" applyNumberFormat="1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167" fontId="19" fillId="0" borderId="2" xfId="0" applyNumberFormat="1" applyFont="1" applyBorder="1" applyAlignment="1">
      <alignment horizontal="right" vertical="center"/>
    </xf>
    <xf numFmtId="4" fontId="3" fillId="0" borderId="34" xfId="30" applyNumberFormat="1" applyBorder="1" applyAlignment="1">
      <alignment horizontal="center" vertical="center"/>
    </xf>
    <xf numFmtId="4" fontId="3" fillId="0" borderId="8" xfId="30" applyNumberFormat="1" applyBorder="1" applyAlignment="1">
      <alignment horizontal="center" vertical="center"/>
    </xf>
    <xf numFmtId="4" fontId="3" fillId="0" borderId="31" xfId="30" applyNumberFormat="1" applyBorder="1" applyAlignment="1">
      <alignment horizontal="center" vertical="center"/>
    </xf>
    <xf numFmtId="4" fontId="3" fillId="0" borderId="11" xfId="30" applyNumberFormat="1" applyBorder="1" applyAlignment="1">
      <alignment horizontal="center" vertical="center"/>
    </xf>
    <xf numFmtId="4" fontId="3" fillId="0" borderId="0" xfId="30" applyNumberFormat="1" applyBorder="1" applyAlignment="1">
      <alignment horizontal="center" vertical="center"/>
    </xf>
    <xf numFmtId="4" fontId="3" fillId="0" borderId="10" xfId="30" applyNumberFormat="1" applyBorder="1" applyAlignment="1">
      <alignment horizontal="center" vertical="center"/>
    </xf>
    <xf numFmtId="4" fontId="3" fillId="0" borderId="9" xfId="30" applyNumberFormat="1" applyBorder="1" applyAlignment="1">
      <alignment horizontal="center" vertical="center"/>
    </xf>
    <xf numFmtId="4" fontId="3" fillId="0" borderId="6" xfId="30" applyNumberFormat="1" applyBorder="1" applyAlignment="1">
      <alignment horizontal="center" vertical="center"/>
    </xf>
    <xf numFmtId="4" fontId="3" fillId="0" borderId="7" xfId="30" applyNumberFormat="1" applyBorder="1" applyAlignment="1">
      <alignment horizontal="center" vertical="center"/>
    </xf>
    <xf numFmtId="4" fontId="3" fillId="0" borderId="0" xfId="30" applyNumberFormat="1" applyAlignment="1">
      <alignment horizontal="left"/>
    </xf>
    <xf numFmtId="4" fontId="3" fillId="0" borderId="0" xfId="30" applyNumberFormat="1" applyAlignment="1">
      <alignment horizontal="left" vertical="top"/>
    </xf>
    <xf numFmtId="4" fontId="3" fillId="0" borderId="0" xfId="30" applyNumberFormat="1" applyAlignment="1">
      <alignment horizontal="right"/>
    </xf>
    <xf numFmtId="4" fontId="3" fillId="0" borderId="0" xfId="30" applyNumberFormat="1" applyAlignment="1">
      <alignment horizontal="right" vertical="top"/>
    </xf>
    <xf numFmtId="4" fontId="22" fillId="0" borderId="0" xfId="0" applyNumberFormat="1" applyFont="1"/>
    <xf numFmtId="167" fontId="19" fillId="0" borderId="0" xfId="0" applyNumberFormat="1" applyFont="1" applyBorder="1" applyAlignment="1">
      <alignment horizontal="right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24" xfId="0" applyNumberFormat="1" applyFont="1" applyFill="1" applyBorder="1" applyAlignment="1">
      <alignment horizontal="left" vertical="center" wrapText="1"/>
    </xf>
    <xf numFmtId="4" fontId="3" fillId="0" borderId="24" xfId="0" applyNumberFormat="1" applyFont="1" applyFill="1" applyBorder="1" applyAlignment="1">
      <alignment horizontal="justify" vertical="center"/>
    </xf>
    <xf numFmtId="4" fontId="3" fillId="4" borderId="5" xfId="0" applyNumberFormat="1" applyFont="1" applyFill="1" applyBorder="1" applyAlignment="1">
      <alignment horizontal="justify" vertical="justify"/>
    </xf>
    <xf numFmtId="176" fontId="3" fillId="0" borderId="0" xfId="30" applyNumberFormat="1" applyAlignment="1">
      <alignment vertical="center"/>
    </xf>
    <xf numFmtId="177" fontId="3" fillId="0" borderId="0" xfId="30" applyNumberFormat="1" applyAlignment="1">
      <alignment vertical="center"/>
    </xf>
    <xf numFmtId="4" fontId="0" fillId="2" borderId="6" xfId="0" applyNumberFormat="1" applyFill="1" applyBorder="1" applyAlignment="1">
      <alignment horizontal="right" vertical="center"/>
    </xf>
    <xf numFmtId="4" fontId="3" fillId="7" borderId="11" xfId="30" applyNumberFormat="1" applyFill="1" applyBorder="1" applyAlignment="1">
      <alignment vertical="center"/>
    </xf>
    <xf numFmtId="4" fontId="3" fillId="7" borderId="0" xfId="30" applyNumberFormat="1" applyFill="1" applyBorder="1" applyAlignment="1">
      <alignment vertical="center"/>
    </xf>
    <xf numFmtId="4" fontId="3" fillId="7" borderId="9" xfId="30" applyNumberFormat="1" applyFill="1" applyBorder="1" applyAlignment="1">
      <alignment vertical="center"/>
    </xf>
    <xf numFmtId="4" fontId="3" fillId="7" borderId="6" xfId="30" applyNumberFormat="1" applyFill="1" applyBorder="1" applyAlignment="1">
      <alignment vertical="center"/>
    </xf>
    <xf numFmtId="4" fontId="3" fillId="5" borderId="34" xfId="30" applyNumberFormat="1" applyFill="1" applyBorder="1" applyAlignment="1">
      <alignment vertical="center"/>
    </xf>
    <xf numFmtId="4" fontId="3" fillId="5" borderId="8" xfId="30" applyNumberFormat="1" applyFill="1" applyBorder="1" applyAlignment="1">
      <alignment vertical="center"/>
    </xf>
    <xf numFmtId="4" fontId="3" fillId="5" borderId="31" xfId="30" applyNumberFormat="1" applyFill="1" applyBorder="1" applyAlignment="1">
      <alignment vertical="center"/>
    </xf>
    <xf numFmtId="4" fontId="3" fillId="5" borderId="11" xfId="30" applyNumberFormat="1" applyFill="1" applyBorder="1" applyAlignment="1">
      <alignment vertical="center"/>
    </xf>
    <xf numFmtId="4" fontId="3" fillId="5" borderId="10" xfId="30" applyNumberFormat="1" applyFill="1" applyBorder="1" applyAlignment="1">
      <alignment vertical="center"/>
    </xf>
    <xf numFmtId="4" fontId="3" fillId="5" borderId="0" xfId="30" applyNumberFormat="1" applyFill="1" applyBorder="1" applyAlignment="1">
      <alignment vertical="center"/>
    </xf>
    <xf numFmtId="4" fontId="3" fillId="5" borderId="9" xfId="30" applyNumberFormat="1" applyFill="1" applyBorder="1" applyAlignment="1">
      <alignment vertical="center"/>
    </xf>
    <xf numFmtId="4" fontId="3" fillId="5" borderId="6" xfId="30" applyNumberFormat="1" applyFill="1" applyBorder="1" applyAlignment="1">
      <alignment vertical="center"/>
    </xf>
    <xf numFmtId="4" fontId="3" fillId="5" borderId="7" xfId="30" applyNumberFormat="1" applyFill="1" applyBorder="1" applyAlignment="1">
      <alignment vertical="center"/>
    </xf>
    <xf numFmtId="4" fontId="3" fillId="8" borderId="34" xfId="30" applyNumberFormat="1" applyFill="1" applyBorder="1" applyAlignment="1">
      <alignment vertical="center"/>
    </xf>
    <xf numFmtId="4" fontId="3" fillId="8" borderId="8" xfId="30" applyNumberFormat="1" applyFill="1" applyBorder="1" applyAlignment="1">
      <alignment vertical="center"/>
    </xf>
    <xf numFmtId="4" fontId="3" fillId="8" borderId="31" xfId="30" applyNumberFormat="1" applyFill="1" applyBorder="1" applyAlignment="1">
      <alignment vertical="center"/>
    </xf>
    <xf numFmtId="4" fontId="3" fillId="8" borderId="11" xfId="30" applyNumberFormat="1" applyFill="1" applyBorder="1" applyAlignment="1">
      <alignment vertical="center"/>
    </xf>
    <xf numFmtId="4" fontId="3" fillId="8" borderId="10" xfId="30" applyNumberFormat="1" applyFill="1" applyBorder="1" applyAlignment="1">
      <alignment vertical="center"/>
    </xf>
    <xf numFmtId="4" fontId="3" fillId="8" borderId="0" xfId="30" applyNumberFormat="1" applyFill="1" applyBorder="1" applyAlignment="1">
      <alignment vertical="center"/>
    </xf>
    <xf numFmtId="4" fontId="3" fillId="8" borderId="9" xfId="30" applyNumberFormat="1" applyFill="1" applyBorder="1" applyAlignment="1">
      <alignment vertical="center"/>
    </xf>
    <xf numFmtId="4" fontId="3" fillId="8" borderId="6" xfId="30" applyNumberFormat="1" applyFill="1" applyBorder="1" applyAlignment="1">
      <alignment vertical="center"/>
    </xf>
    <xf numFmtId="4" fontId="3" fillId="8" borderId="7" xfId="30" applyNumberFormat="1" applyFill="1" applyBorder="1" applyAlignment="1">
      <alignment vertical="center"/>
    </xf>
    <xf numFmtId="4" fontId="3" fillId="9" borderId="34" xfId="30" applyNumberFormat="1" applyFill="1" applyBorder="1" applyAlignment="1">
      <alignment vertical="center"/>
    </xf>
    <xf numFmtId="4" fontId="3" fillId="9" borderId="8" xfId="30" applyNumberFormat="1" applyFill="1" applyBorder="1" applyAlignment="1">
      <alignment vertical="center"/>
    </xf>
    <xf numFmtId="4" fontId="3" fillId="9" borderId="31" xfId="30" applyNumberFormat="1" applyFill="1" applyBorder="1" applyAlignment="1">
      <alignment vertical="center"/>
    </xf>
    <xf numFmtId="4" fontId="3" fillId="9" borderId="11" xfId="30" applyNumberFormat="1" applyFill="1" applyBorder="1" applyAlignment="1">
      <alignment vertical="center"/>
    </xf>
    <xf numFmtId="4" fontId="3" fillId="9" borderId="0" xfId="30" applyNumberFormat="1" applyFill="1" applyBorder="1" applyAlignment="1">
      <alignment vertical="center"/>
    </xf>
    <xf numFmtId="4" fontId="3" fillId="9" borderId="10" xfId="30" applyNumberFormat="1" applyFill="1" applyBorder="1" applyAlignment="1">
      <alignment vertical="center"/>
    </xf>
    <xf numFmtId="4" fontId="3" fillId="9" borderId="9" xfId="30" applyNumberFormat="1" applyFill="1" applyBorder="1" applyAlignment="1">
      <alignment vertical="center"/>
    </xf>
    <xf numFmtId="4" fontId="3" fillId="9" borderId="6" xfId="30" applyNumberFormat="1" applyFill="1" applyBorder="1" applyAlignment="1">
      <alignment vertical="center"/>
    </xf>
    <xf numFmtId="4" fontId="3" fillId="9" borderId="7" xfId="30" applyNumberFormat="1" applyFill="1" applyBorder="1" applyAlignment="1">
      <alignment vertical="center"/>
    </xf>
    <xf numFmtId="4" fontId="3" fillId="7" borderId="33" xfId="30" applyNumberFormat="1" applyFill="1" applyBorder="1" applyAlignment="1">
      <alignment horizontal="center" vertical="center"/>
    </xf>
    <xf numFmtId="4" fontId="3" fillId="7" borderId="8" xfId="30" applyNumberFormat="1" applyFill="1" applyBorder="1" applyAlignment="1">
      <alignment horizontal="center" vertical="center"/>
    </xf>
    <xf numFmtId="4" fontId="3" fillId="7" borderId="34" xfId="30" applyNumberFormat="1" applyFill="1" applyBorder="1" applyAlignment="1">
      <alignment horizontal="center" vertical="center"/>
    </xf>
    <xf numFmtId="4" fontId="3" fillId="7" borderId="31" xfId="30" applyNumberFormat="1" applyFill="1" applyBorder="1" applyAlignment="1">
      <alignment horizontal="center" vertical="center"/>
    </xf>
    <xf numFmtId="4" fontId="3" fillId="7" borderId="10" xfId="30" applyNumberFormat="1" applyFill="1" applyBorder="1" applyAlignment="1">
      <alignment horizontal="center" vertical="center"/>
    </xf>
    <xf numFmtId="4" fontId="3" fillId="7" borderId="7" xfId="30" applyNumberForma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4" fontId="3" fillId="0" borderId="24" xfId="0" applyNumberFormat="1" applyFont="1" applyFill="1" applyBorder="1" applyAlignment="1">
      <alignment horizontal="justify" vertical="justify"/>
    </xf>
    <xf numFmtId="0" fontId="3" fillId="4" borderId="5" xfId="0" applyFont="1" applyFill="1" applyBorder="1" applyAlignment="1">
      <alignment horizontal="left" vertical="center"/>
    </xf>
    <xf numFmtId="2" fontId="3" fillId="0" borderId="5" xfId="0" applyNumberFormat="1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justify" vertical="center"/>
    </xf>
    <xf numFmtId="4" fontId="0" fillId="0" borderId="6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11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35" xfId="0" applyNumberFormat="1" applyBorder="1" applyAlignment="1">
      <alignment vertical="center"/>
    </xf>
    <xf numFmtId="4" fontId="0" fillId="0" borderId="36" xfId="0" applyNumberFormat="1" applyBorder="1" applyAlignment="1">
      <alignment vertical="center"/>
    </xf>
    <xf numFmtId="4" fontId="0" fillId="0" borderId="37" xfId="0" applyNumberFormat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0" fillId="0" borderId="34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0" borderId="31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0" fillId="0" borderId="3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5" fillId="2" borderId="0" xfId="0" applyNumberFormat="1" applyFont="1" applyFill="1" applyAlignment="1">
      <alignment horizontal="right" vertical="center"/>
    </xf>
    <xf numFmtId="4" fontId="0" fillId="2" borderId="6" xfId="0" applyNumberForma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justify" vertical="justify"/>
    </xf>
    <xf numFmtId="4" fontId="0" fillId="0" borderId="5" xfId="27" applyNumberFormat="1" applyFont="1" applyFill="1" applyBorder="1" applyAlignment="1">
      <alignment horizontal="right" vertical="center"/>
    </xf>
    <xf numFmtId="172" fontId="0" fillId="0" borderId="5" xfId="27" applyNumberFormat="1" applyFont="1" applyFill="1" applyBorder="1" applyAlignment="1">
      <alignment horizontal="right" vertical="center"/>
    </xf>
    <xf numFmtId="0" fontId="18" fillId="0" borderId="0" xfId="0" applyFont="1" applyBorder="1"/>
    <xf numFmtId="164" fontId="18" fillId="2" borderId="8" xfId="4" applyNumberFormat="1" applyFont="1" applyFill="1" applyBorder="1" applyAlignment="1">
      <alignment horizontal="right" vertical="center"/>
    </xf>
    <xf numFmtId="10" fontId="38" fillId="2" borderId="0" xfId="4" applyNumberFormat="1" applyFont="1" applyFill="1" applyBorder="1" applyAlignment="1">
      <alignment horizontal="right" vertical="center"/>
    </xf>
    <xf numFmtId="164" fontId="18" fillId="6" borderId="6" xfId="4" applyNumberFormat="1" applyFont="1" applyFill="1" applyBorder="1" applyAlignment="1">
      <alignment horizontal="right" vertical="center"/>
    </xf>
    <xf numFmtId="164" fontId="18" fillId="2" borderId="6" xfId="4" applyNumberFormat="1" applyFont="1" applyFill="1" applyBorder="1" applyAlignment="1">
      <alignment horizontal="right" vertical="center"/>
    </xf>
    <xf numFmtId="164" fontId="38" fillId="2" borderId="0" xfId="4" applyNumberFormat="1" applyFont="1" applyFill="1" applyBorder="1" applyAlignment="1">
      <alignment horizontal="right" vertical="center"/>
    </xf>
    <xf numFmtId="166" fontId="18" fillId="0" borderId="0" xfId="0" applyNumberFormat="1" applyFont="1"/>
    <xf numFmtId="167" fontId="19" fillId="0" borderId="1" xfId="0" applyNumberFormat="1" applyFont="1" applyBorder="1" applyAlignment="1">
      <alignment horizontal="right" vertical="center"/>
    </xf>
    <xf numFmtId="10" fontId="19" fillId="0" borderId="1" xfId="33" applyNumberFormat="1" applyFont="1" applyBorder="1" applyAlignment="1">
      <alignment horizontal="right" vertical="center"/>
    </xf>
    <xf numFmtId="164" fontId="19" fillId="0" borderId="1" xfId="0" applyNumberFormat="1" applyFont="1" applyBorder="1" applyAlignment="1">
      <alignment horizontal="right" vertical="center"/>
    </xf>
    <xf numFmtId="10" fontId="19" fillId="0" borderId="1" xfId="0" applyNumberFormat="1" applyFont="1" applyBorder="1" applyAlignment="1">
      <alignment horizontal="right" vertical="center"/>
    </xf>
    <xf numFmtId="4" fontId="3" fillId="0" borderId="0" xfId="30" applyNumberFormat="1" applyBorder="1" applyAlignment="1">
      <alignment horizontal="left" vertical="center"/>
    </xf>
    <xf numFmtId="4" fontId="3" fillId="0" borderId="0" xfId="30" applyNumberFormat="1" applyBorder="1" applyAlignment="1">
      <alignment horizontal="center" vertical="top"/>
    </xf>
    <xf numFmtId="4" fontId="3" fillId="0" borderId="0" xfId="30" applyNumberFormat="1" applyBorder="1" applyAlignment="1">
      <alignment horizontal="center"/>
    </xf>
    <xf numFmtId="4" fontId="3" fillId="0" borderId="0" xfId="30" applyNumberFormat="1" applyBorder="1" applyAlignment="1">
      <alignment horizontal="right" vertical="center"/>
    </xf>
    <xf numFmtId="4" fontId="3" fillId="2" borderId="0" xfId="30" applyNumberFormat="1" applyFill="1" applyAlignment="1">
      <alignment horizontal="center" vertical="center"/>
    </xf>
    <xf numFmtId="4" fontId="3" fillId="2" borderId="0" xfId="30" applyNumberFormat="1" applyFill="1" applyAlignment="1">
      <alignment vertical="center"/>
    </xf>
    <xf numFmtId="4" fontId="3" fillId="2" borderId="0" xfId="30" applyNumberFormat="1" applyFill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4" fontId="3" fillId="2" borderId="6" xfId="0" applyNumberFormat="1" applyFont="1" applyFill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" fontId="3" fillId="0" borderId="16" xfId="0" applyNumberFormat="1" applyFont="1" applyBorder="1" applyAlignment="1">
      <alignment horizontal="justify"/>
    </xf>
    <xf numFmtId="4" fontId="3" fillId="0" borderId="17" xfId="0" applyNumberFormat="1" applyFont="1" applyBorder="1" applyAlignment="1">
      <alignment horizontal="justify"/>
    </xf>
    <xf numFmtId="4" fontId="3" fillId="0" borderId="15" xfId="0" applyNumberFormat="1" applyFont="1" applyBorder="1" applyAlignment="1">
      <alignment horizontal="justify"/>
    </xf>
    <xf numFmtId="4" fontId="5" fillId="2" borderId="0" xfId="0" applyNumberFormat="1" applyFont="1" applyFill="1" applyAlignment="1">
      <alignment horizontal="right" vertical="center"/>
    </xf>
    <xf numFmtId="4" fontId="5" fillId="3" borderId="9" xfId="0" applyNumberFormat="1" applyFont="1" applyFill="1" applyBorder="1" applyAlignment="1">
      <alignment horizontal="left" vertical="center" wrapText="1"/>
    </xf>
    <xf numFmtId="4" fontId="5" fillId="3" borderId="6" xfId="0" applyNumberFormat="1" applyFont="1" applyFill="1" applyBorder="1" applyAlignment="1">
      <alignment horizontal="left" vertical="center" wrapText="1"/>
    </xf>
    <xf numFmtId="4" fontId="3" fillId="0" borderId="16" xfId="0" applyNumberFormat="1" applyFont="1" applyBorder="1" applyAlignment="1">
      <alignment horizontal="justify" vertical="center" wrapText="1"/>
    </xf>
    <xf numFmtId="4" fontId="3" fillId="0" borderId="17" xfId="0" applyNumberFormat="1" applyFont="1" applyBorder="1" applyAlignment="1">
      <alignment horizontal="justify" vertical="center" wrapText="1"/>
    </xf>
    <xf numFmtId="4" fontId="3" fillId="0" borderId="15" xfId="0" applyNumberFormat="1" applyFont="1" applyBorder="1" applyAlignment="1">
      <alignment horizontal="justify" vertical="center" wrapText="1"/>
    </xf>
    <xf numFmtId="4" fontId="14" fillId="2" borderId="0" xfId="0" applyNumberFormat="1" applyFont="1" applyFill="1" applyAlignment="1">
      <alignment horizontal="left" vertical="center"/>
    </xf>
    <xf numFmtId="4" fontId="3" fillId="0" borderId="13" xfId="0" applyNumberFormat="1" applyFont="1" applyBorder="1" applyAlignment="1">
      <alignment horizontal="justify" vertical="center" wrapText="1"/>
    </xf>
    <xf numFmtId="4" fontId="3" fillId="0" borderId="14" xfId="0" applyNumberFormat="1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justify" vertical="center" wrapText="1"/>
    </xf>
    <xf numFmtId="4" fontId="3" fillId="4" borderId="16" xfId="0" applyNumberFormat="1" applyFont="1" applyFill="1" applyBorder="1" applyAlignment="1">
      <alignment horizontal="justify"/>
    </xf>
    <xf numFmtId="4" fontId="3" fillId="4" borderId="17" xfId="0" applyNumberFormat="1" applyFont="1" applyFill="1" applyBorder="1" applyAlignment="1">
      <alignment horizontal="justify"/>
    </xf>
    <xf numFmtId="4" fontId="3" fillId="4" borderId="15" xfId="0" applyNumberFormat="1" applyFont="1" applyFill="1" applyBorder="1" applyAlignment="1">
      <alignment horizontal="justify"/>
    </xf>
    <xf numFmtId="4" fontId="3" fillId="4" borderId="16" xfId="0" applyNumberFormat="1" applyFont="1" applyFill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justify" vertical="center" wrapText="1"/>
    </xf>
    <xf numFmtId="4" fontId="5" fillId="2" borderId="0" xfId="0" applyNumberFormat="1" applyFont="1" applyFill="1" applyAlignment="1">
      <alignment horizontal="left" vertical="center"/>
    </xf>
    <xf numFmtId="4" fontId="0" fillId="2" borderId="6" xfId="0" applyNumberFormat="1" applyFill="1" applyBorder="1" applyAlignment="1">
      <alignment horizontal="right" vertical="center"/>
    </xf>
    <xf numFmtId="4" fontId="5" fillId="2" borderId="0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3" fillId="2" borderId="0" xfId="0" applyNumberFormat="1" applyFont="1" applyFill="1" applyAlignment="1">
      <alignment horizontal="right" vertical="justify"/>
    </xf>
    <xf numFmtId="4" fontId="3" fillId="2" borderId="6" xfId="0" applyNumberFormat="1" applyFont="1" applyFill="1" applyBorder="1" applyAlignment="1">
      <alignment horizontal="right" vertical="justify"/>
    </xf>
    <xf numFmtId="4" fontId="3" fillId="4" borderId="16" xfId="0" applyNumberFormat="1" applyFont="1" applyFill="1" applyBorder="1" applyAlignment="1">
      <alignment horizontal="left" vertical="center"/>
    </xf>
    <xf numFmtId="4" fontId="3" fillId="4" borderId="17" xfId="0" applyNumberFormat="1" applyFont="1" applyFill="1" applyBorder="1" applyAlignment="1">
      <alignment horizontal="left" vertical="center"/>
    </xf>
    <xf numFmtId="4" fontId="3" fillId="4" borderId="15" xfId="0" applyNumberFormat="1" applyFont="1" applyFill="1" applyBorder="1" applyAlignment="1">
      <alignment horizontal="left" vertical="center"/>
    </xf>
    <xf numFmtId="4" fontId="3" fillId="0" borderId="16" xfId="0" applyNumberFormat="1" applyFont="1" applyFill="1" applyBorder="1" applyAlignment="1">
      <alignment horizontal="justify"/>
    </xf>
    <xf numFmtId="4" fontId="3" fillId="0" borderId="17" xfId="0" applyNumberFormat="1" applyFont="1" applyFill="1" applyBorder="1" applyAlignment="1">
      <alignment horizontal="justify"/>
    </xf>
    <xf numFmtId="4" fontId="3" fillId="0" borderId="15" xfId="0" applyNumberFormat="1" applyFont="1" applyFill="1" applyBorder="1" applyAlignment="1">
      <alignment horizontal="justify"/>
    </xf>
    <xf numFmtId="4" fontId="3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3" fillId="0" borderId="28" xfId="0" applyNumberFormat="1" applyFont="1" applyBorder="1" applyAlignment="1">
      <alignment horizontal="justify"/>
    </xf>
    <xf numFmtId="4" fontId="3" fillId="0" borderId="29" xfId="0" applyNumberFormat="1" applyFont="1" applyBorder="1" applyAlignment="1">
      <alignment horizontal="justify"/>
    </xf>
    <xf numFmtId="4" fontId="3" fillId="0" borderId="30" xfId="0" applyNumberFormat="1" applyFont="1" applyBorder="1" applyAlignment="1">
      <alignment horizontal="justify"/>
    </xf>
    <xf numFmtId="4" fontId="0" fillId="0" borderId="11" xfId="0" applyNumberFormat="1" applyBorder="1" applyAlignment="1">
      <alignment horizontal="left" vertical="center"/>
    </xf>
    <xf numFmtId="4" fontId="3" fillId="0" borderId="0" xfId="30" applyNumberFormat="1" applyAlignment="1">
      <alignment horizontal="left" vertical="center"/>
    </xf>
    <xf numFmtId="4" fontId="3" fillId="7" borderId="33" xfId="30" applyNumberFormat="1" applyFill="1" applyBorder="1" applyAlignment="1">
      <alignment horizontal="center" vertical="center"/>
    </xf>
    <xf numFmtId="4" fontId="3" fillId="7" borderId="3" xfId="30" applyNumberFormat="1" applyFill="1" applyBorder="1" applyAlignment="1">
      <alignment horizontal="center" vertical="center"/>
    </xf>
    <xf numFmtId="0" fontId="35" fillId="0" borderId="0" xfId="30" applyFont="1" applyAlignment="1">
      <alignment horizontal="center" vertical="center"/>
    </xf>
    <xf numFmtId="0" fontId="24" fillId="0" borderId="0" xfId="30" applyFont="1" applyAlignment="1">
      <alignment horizontal="center" vertical="center"/>
    </xf>
    <xf numFmtId="0" fontId="35" fillId="0" borderId="0" xfId="31" applyNumberFormat="1" applyFont="1" applyFill="1" applyBorder="1" applyAlignment="1" applyProtection="1">
      <alignment horizontal="justify" vertical="center" wrapText="1"/>
    </xf>
    <xf numFmtId="14" fontId="19" fillId="0" borderId="0" xfId="30" applyNumberFormat="1" applyFont="1" applyAlignment="1">
      <alignment horizontal="right" vertical="center"/>
    </xf>
    <xf numFmtId="0" fontId="24" fillId="0" borderId="2" xfId="30" applyFont="1" applyBorder="1" applyAlignment="1">
      <alignment horizontal="left" vertical="center"/>
    </xf>
    <xf numFmtId="0" fontId="24" fillId="0" borderId="4" xfId="30" applyFont="1" applyBorder="1" applyAlignment="1">
      <alignment horizontal="left" vertical="center"/>
    </xf>
    <xf numFmtId="0" fontId="35" fillId="0" borderId="2" xfId="30" applyFont="1" applyBorder="1" applyAlignment="1">
      <alignment horizontal="left" vertical="center"/>
    </xf>
    <xf numFmtId="0" fontId="35" fillId="0" borderId="4" xfId="30" applyFont="1" applyBorder="1" applyAlignment="1">
      <alignment horizontal="left" vertical="center"/>
    </xf>
    <xf numFmtId="0" fontId="34" fillId="0" borderId="0" xfId="30" applyFont="1" applyAlignment="1">
      <alignment horizontal="center" vertical="center"/>
    </xf>
    <xf numFmtId="0" fontId="35" fillId="0" borderId="25" xfId="30" applyFont="1" applyBorder="1" applyAlignment="1">
      <alignment horizontal="center" vertical="center" wrapText="1"/>
    </xf>
    <xf numFmtId="0" fontId="35" fillId="0" borderId="32" xfId="30" applyFont="1" applyBorder="1" applyAlignment="1">
      <alignment horizontal="center" vertical="center" wrapText="1"/>
    </xf>
    <xf numFmtId="0" fontId="35" fillId="0" borderId="34" xfId="30" applyFont="1" applyBorder="1" applyAlignment="1">
      <alignment horizontal="left" vertical="center" wrapText="1"/>
    </xf>
    <xf numFmtId="0" fontId="35" fillId="0" borderId="8" xfId="30" applyFont="1" applyBorder="1" applyAlignment="1">
      <alignment horizontal="left" vertical="center" wrapText="1"/>
    </xf>
    <xf numFmtId="0" fontId="35" fillId="0" borderId="31" xfId="30" applyFont="1" applyBorder="1" applyAlignment="1">
      <alignment horizontal="left" vertical="center" wrapText="1"/>
    </xf>
    <xf numFmtId="0" fontId="35" fillId="0" borderId="9" xfId="30" applyFont="1" applyBorder="1" applyAlignment="1">
      <alignment horizontal="left" vertical="center" wrapText="1"/>
    </xf>
    <xf numFmtId="0" fontId="35" fillId="0" borderId="6" xfId="30" applyFont="1" applyBorder="1" applyAlignment="1">
      <alignment horizontal="left" vertical="center" wrapText="1"/>
    </xf>
    <xf numFmtId="0" fontId="35" fillId="0" borderId="7" xfId="30" applyFont="1" applyBorder="1" applyAlignment="1">
      <alignment horizontal="left" vertical="center" wrapText="1"/>
    </xf>
    <xf numFmtId="171" fontId="35" fillId="0" borderId="2" xfId="31" applyFont="1" applyFill="1" applyBorder="1" applyAlignment="1" applyProtection="1">
      <alignment horizontal="center" vertical="center" wrapText="1"/>
    </xf>
    <xf numFmtId="171" fontId="35" fillId="0" borderId="4" xfId="31" applyFont="1" applyFill="1" applyBorder="1" applyAlignment="1" applyProtection="1">
      <alignment horizontal="center" vertical="center" wrapText="1"/>
    </xf>
    <xf numFmtId="0" fontId="12" fillId="0" borderId="0" xfId="30" applyFont="1" applyAlignment="1">
      <alignment horizontal="left" vertical="center"/>
    </xf>
    <xf numFmtId="0" fontId="33" fillId="0" borderId="0" xfId="30" applyFont="1" applyAlignment="1">
      <alignment horizontal="left" vertical="center"/>
    </xf>
    <xf numFmtId="4" fontId="12" fillId="0" borderId="0" xfId="30" applyNumberFormat="1" applyFont="1" applyAlignment="1">
      <alignment horizontal="left" vertical="center"/>
    </xf>
    <xf numFmtId="4" fontId="12" fillId="0" borderId="0" xfId="30" applyNumberFormat="1" applyFont="1" applyAlignment="1">
      <alignment horizontal="center"/>
    </xf>
    <xf numFmtId="4" fontId="33" fillId="0" borderId="0" xfId="30" applyNumberFormat="1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left" vertical="center"/>
    </xf>
    <xf numFmtId="14" fontId="19" fillId="0" borderId="0" xfId="0" applyNumberFormat="1" applyFont="1" applyAlignment="1">
      <alignment horizontal="right" vertical="center"/>
    </xf>
    <xf numFmtId="2" fontId="18" fillId="0" borderId="0" xfId="0" applyNumberFormat="1" applyFont="1" applyAlignment="1">
      <alignment horizontal="justify" vertic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3" fillId="0" borderId="0" xfId="30" applyAlignment="1">
      <alignment horizontal="right" vertical="center"/>
    </xf>
    <xf numFmtId="14" fontId="5" fillId="0" borderId="0" xfId="30" applyNumberFormat="1" applyFont="1" applyAlignment="1">
      <alignment horizontal="right" vertical="center"/>
    </xf>
    <xf numFmtId="0" fontId="13" fillId="4" borderId="21" xfId="30" applyFont="1" applyFill="1" applyBorder="1" applyAlignment="1">
      <alignment horizontal="left" vertical="center"/>
    </xf>
    <xf numFmtId="0" fontId="13" fillId="4" borderId="22" xfId="30" applyFont="1" applyFill="1" applyBorder="1" applyAlignment="1">
      <alignment horizontal="left" vertical="center"/>
    </xf>
    <xf numFmtId="0" fontId="19" fillId="0" borderId="0" xfId="29" applyFont="1" applyAlignment="1">
      <alignment horizontal="right" vertical="center" wrapText="1"/>
    </xf>
    <xf numFmtId="10" fontId="19" fillId="0" borderId="0" xfId="29" applyNumberFormat="1" applyFont="1" applyAlignment="1">
      <alignment horizontal="right" vertical="center" wrapText="1"/>
    </xf>
    <xf numFmtId="0" fontId="3" fillId="0" borderId="0" xfId="30" applyAlignment="1">
      <alignment horizontal="center" vertical="center"/>
    </xf>
    <xf numFmtId="0" fontId="13" fillId="4" borderId="17" xfId="30" applyFont="1" applyFill="1" applyBorder="1" applyAlignment="1">
      <alignment horizontal="left" vertical="center"/>
    </xf>
    <xf numFmtId="0" fontId="13" fillId="4" borderId="18" xfId="30" applyFont="1" applyFill="1" applyBorder="1" applyAlignment="1">
      <alignment horizontal="left" vertical="center"/>
    </xf>
    <xf numFmtId="4" fontId="3" fillId="0" borderId="0" xfId="30" applyNumberFormat="1" applyAlignment="1">
      <alignment horizontal="center"/>
    </xf>
    <xf numFmtId="4" fontId="5" fillId="0" borderId="0" xfId="30" applyNumberFormat="1" applyFont="1" applyAlignment="1">
      <alignment horizontal="left" vertical="center"/>
    </xf>
    <xf numFmtId="0" fontId="3" fillId="0" borderId="0" xfId="30" applyFont="1" applyAlignment="1">
      <alignment horizontal="left" vertical="center"/>
    </xf>
    <xf numFmtId="4" fontId="3" fillId="0" borderId="0" xfId="30" applyNumberFormat="1" applyFont="1" applyAlignment="1">
      <alignment horizontal="left" vertical="center"/>
    </xf>
    <xf numFmtId="0" fontId="7" fillId="0" borderId="0" xfId="30" applyFont="1" applyAlignment="1">
      <alignment horizontal="center" vertical="center"/>
    </xf>
    <xf numFmtId="2" fontId="5" fillId="5" borderId="3" xfId="30" applyNumberFormat="1" applyFont="1" applyFill="1" applyBorder="1" applyAlignment="1">
      <alignment horizontal="justify" vertical="center" wrapText="1"/>
    </xf>
    <xf numFmtId="1" fontId="19" fillId="0" borderId="31" xfId="0" applyNumberFormat="1" applyFont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70" fontId="19" fillId="0" borderId="31" xfId="0" applyNumberFormat="1" applyFont="1" applyBorder="1" applyAlignment="1">
      <alignment horizontal="right" vertical="center"/>
    </xf>
    <xf numFmtId="170" fontId="19" fillId="0" borderId="10" xfId="0" applyNumberFormat="1" applyFont="1" applyBorder="1" applyAlignment="1">
      <alignment horizontal="right" vertical="center"/>
    </xf>
    <xf numFmtId="170" fontId="19" fillId="0" borderId="7" xfId="0" applyNumberFormat="1" applyFont="1" applyBorder="1" applyAlignment="1">
      <alignment horizontal="right" vertical="center"/>
    </xf>
    <xf numFmtId="10" fontId="19" fillId="0" borderId="25" xfId="0" applyNumberFormat="1" applyFont="1" applyBorder="1" applyAlignment="1">
      <alignment horizontal="right" vertical="center"/>
    </xf>
    <xf numFmtId="10" fontId="19" fillId="0" borderId="33" xfId="0" applyNumberFormat="1" applyFont="1" applyBorder="1" applyAlignment="1">
      <alignment horizontal="right" vertical="center"/>
    </xf>
    <xf numFmtId="10" fontId="19" fillId="0" borderId="32" xfId="0" applyNumberFormat="1" applyFont="1" applyBorder="1" applyAlignment="1">
      <alignment horizontal="right" vertical="center"/>
    </xf>
    <xf numFmtId="170" fontId="19" fillId="0" borderId="25" xfId="0" applyNumberFormat="1" applyFont="1" applyBorder="1" applyAlignment="1">
      <alignment horizontal="right" vertical="center"/>
    </xf>
    <xf numFmtId="170" fontId="19" fillId="0" borderId="33" xfId="0" applyNumberFormat="1" applyFont="1" applyBorder="1" applyAlignment="1">
      <alignment horizontal="right" vertical="center"/>
    </xf>
    <xf numFmtId="170" fontId="19" fillId="0" borderId="32" xfId="0" applyNumberFormat="1" applyFont="1" applyBorder="1" applyAlignment="1">
      <alignment horizontal="right" vertical="center"/>
    </xf>
    <xf numFmtId="2" fontId="19" fillId="0" borderId="34" xfId="0" applyNumberFormat="1" applyFont="1" applyBorder="1" applyAlignment="1">
      <alignment horizontal="left" vertical="center"/>
    </xf>
    <xf numFmtId="2" fontId="19" fillId="0" borderId="31" xfId="0" applyNumberFormat="1" applyFont="1" applyBorder="1" applyAlignment="1">
      <alignment horizontal="left" vertical="center"/>
    </xf>
    <xf numFmtId="2" fontId="19" fillId="0" borderId="11" xfId="0" applyNumberFormat="1" applyFont="1" applyBorder="1" applyAlignment="1">
      <alignment horizontal="left" vertical="center"/>
    </xf>
    <xf numFmtId="2" fontId="19" fillId="0" borderId="10" xfId="0" applyNumberFormat="1" applyFont="1" applyBorder="1" applyAlignment="1">
      <alignment horizontal="left" vertical="center"/>
    </xf>
    <xf numFmtId="2" fontId="19" fillId="0" borderId="9" xfId="0" applyNumberFormat="1" applyFont="1" applyBorder="1" applyAlignment="1">
      <alignment horizontal="left" vertical="center"/>
    </xf>
    <xf numFmtId="2" fontId="19" fillId="0" borderId="7" xfId="0" applyNumberFormat="1" applyFont="1" applyBorder="1" applyAlignment="1">
      <alignment horizontal="left" vertical="center"/>
    </xf>
    <xf numFmtId="1" fontId="19" fillId="0" borderId="34" xfId="0" applyNumberFormat="1" applyFont="1" applyBorder="1" applyAlignment="1">
      <alignment horizontal="left" vertical="center"/>
    </xf>
    <xf numFmtId="1" fontId="19" fillId="0" borderId="31" xfId="0" applyNumberFormat="1" applyFont="1" applyBorder="1" applyAlignment="1">
      <alignment horizontal="left" vertical="center"/>
    </xf>
    <xf numFmtId="1" fontId="19" fillId="0" borderId="11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center"/>
    </xf>
    <xf numFmtId="1" fontId="19" fillId="0" borderId="7" xfId="0" applyNumberFormat="1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19" fillId="0" borderId="34" xfId="0" applyNumberFormat="1" applyFont="1" applyBorder="1" applyAlignment="1">
      <alignment horizontal="center" vertical="center"/>
    </xf>
    <xf numFmtId="164" fontId="19" fillId="0" borderId="8" xfId="0" applyNumberFormat="1" applyFont="1" applyBorder="1" applyAlignment="1">
      <alignment horizontal="center" vertical="center"/>
    </xf>
    <xf numFmtId="164" fontId="19" fillId="0" borderId="9" xfId="0" applyNumberFormat="1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10" fontId="19" fillId="0" borderId="34" xfId="0" applyNumberFormat="1" applyFont="1" applyBorder="1" applyAlignment="1">
      <alignment horizontal="center" vertical="center"/>
    </xf>
    <xf numFmtId="10" fontId="19" fillId="0" borderId="8" xfId="0" applyNumberFormat="1" applyFont="1" applyBorder="1" applyAlignment="1">
      <alignment horizontal="center" vertical="center"/>
    </xf>
    <xf numFmtId="10" fontId="19" fillId="0" borderId="9" xfId="0" applyNumberFormat="1" applyFont="1" applyBorder="1" applyAlignment="1">
      <alignment horizontal="center" vertical="center"/>
    </xf>
    <xf numFmtId="10" fontId="19" fillId="0" borderId="6" xfId="0" applyNumberFormat="1" applyFont="1" applyBorder="1" applyAlignment="1">
      <alignment horizontal="center" vertical="center"/>
    </xf>
    <xf numFmtId="164" fontId="18" fillId="2" borderId="34" xfId="4" applyNumberFormat="1" applyFont="1" applyFill="1" applyBorder="1" applyAlignment="1">
      <alignment horizontal="center" vertical="center"/>
    </xf>
    <xf numFmtId="164" fontId="18" fillId="2" borderId="8" xfId="4" applyNumberFormat="1" applyFont="1" applyFill="1" applyBorder="1" applyAlignment="1">
      <alignment horizontal="center" vertical="center"/>
    </xf>
    <xf numFmtId="164" fontId="18" fillId="2" borderId="11" xfId="4" applyNumberFormat="1" applyFont="1" applyFill="1" applyBorder="1" applyAlignment="1">
      <alignment horizontal="center" vertical="center"/>
    </xf>
    <xf numFmtId="164" fontId="18" fillId="2" borderId="0" xfId="4" applyNumberFormat="1" applyFont="1" applyFill="1" applyBorder="1" applyAlignment="1">
      <alignment horizontal="center" vertical="center"/>
    </xf>
    <xf numFmtId="164" fontId="18" fillId="2" borderId="9" xfId="4" applyNumberFormat="1" applyFont="1" applyFill="1" applyBorder="1" applyAlignment="1">
      <alignment horizontal="center" vertical="center"/>
    </xf>
    <xf numFmtId="164" fontId="18" fillId="2" borderId="6" xfId="4" applyNumberFormat="1" applyFont="1" applyFill="1" applyBorder="1" applyAlignment="1">
      <alignment horizontal="center" vertical="center"/>
    </xf>
    <xf numFmtId="0" fontId="5" fillId="0" borderId="11" xfId="30" applyFont="1" applyBorder="1" applyAlignment="1">
      <alignment horizontal="left" vertical="center"/>
    </xf>
    <xf numFmtId="0" fontId="5" fillId="0" borderId="0" xfId="30" applyFont="1" applyAlignment="1">
      <alignment horizontal="left" vertical="center"/>
    </xf>
    <xf numFmtId="14" fontId="28" fillId="0" borderId="0" xfId="30" applyNumberFormat="1" applyFont="1" applyAlignment="1">
      <alignment horizontal="center" vertical="center"/>
    </xf>
    <xf numFmtId="14" fontId="28" fillId="0" borderId="10" xfId="30" applyNumberFormat="1" applyFont="1" applyBorder="1" applyAlignment="1">
      <alignment horizontal="center" vertical="center"/>
    </xf>
    <xf numFmtId="0" fontId="5" fillId="0" borderId="11" xfId="30" applyFont="1" applyBorder="1" applyAlignment="1">
      <alignment horizontal="distributed" vertical="center"/>
    </xf>
    <xf numFmtId="0" fontId="5" fillId="0" borderId="0" xfId="30" applyFont="1" applyAlignment="1">
      <alignment horizontal="distributed" vertical="center"/>
    </xf>
    <xf numFmtId="174" fontId="28" fillId="0" borderId="0" xfId="30" applyNumberFormat="1" applyFont="1" applyAlignment="1">
      <alignment horizontal="right" vertical="center"/>
    </xf>
    <xf numFmtId="174" fontId="28" fillId="0" borderId="10" xfId="30" applyNumberFormat="1" applyFont="1" applyBorder="1" applyAlignment="1">
      <alignment horizontal="right" vertical="center"/>
    </xf>
    <xf numFmtId="0" fontId="7" fillId="0" borderId="34" xfId="30" applyFont="1" applyBorder="1" applyAlignment="1">
      <alignment horizontal="center" vertical="center"/>
    </xf>
    <xf numFmtId="0" fontId="7" fillId="0" borderId="9" xfId="30" applyFont="1" applyBorder="1" applyAlignment="1">
      <alignment horizontal="center" vertical="center"/>
    </xf>
    <xf numFmtId="0" fontId="7" fillId="0" borderId="8" xfId="30" applyFont="1" applyBorder="1" applyAlignment="1">
      <alignment horizontal="left" vertical="center"/>
    </xf>
    <xf numFmtId="0" fontId="7" fillId="0" borderId="31" xfId="30" applyFont="1" applyBorder="1" applyAlignment="1">
      <alignment horizontal="left" vertical="center"/>
    </xf>
    <xf numFmtId="0" fontId="27" fillId="0" borderId="34" xfId="30" applyFont="1" applyBorder="1" applyAlignment="1">
      <alignment horizontal="left" vertical="top"/>
    </xf>
    <xf numFmtId="0" fontId="27" fillId="0" borderId="8" xfId="30" applyFont="1" applyBorder="1" applyAlignment="1">
      <alignment horizontal="left" vertical="top"/>
    </xf>
    <xf numFmtId="0" fontId="27" fillId="0" borderId="31" xfId="30" applyFont="1" applyBorder="1" applyAlignment="1">
      <alignment horizontal="left" vertical="top"/>
    </xf>
    <xf numFmtId="0" fontId="27" fillId="0" borderId="11" xfId="30" applyFont="1" applyBorder="1" applyAlignment="1">
      <alignment horizontal="left" vertical="top"/>
    </xf>
    <xf numFmtId="0" fontId="27" fillId="0" borderId="0" xfId="30" applyFont="1" applyAlignment="1">
      <alignment horizontal="left" vertical="top"/>
    </xf>
    <xf numFmtId="0" fontId="27" fillId="0" borderId="10" xfId="30" applyFont="1" applyBorder="1" applyAlignment="1">
      <alignment horizontal="left" vertical="top"/>
    </xf>
    <xf numFmtId="0" fontId="27" fillId="0" borderId="9" xfId="30" applyFont="1" applyBorder="1" applyAlignment="1">
      <alignment horizontal="left" vertical="top"/>
    </xf>
    <xf numFmtId="0" fontId="27" fillId="0" borderId="6" xfId="30" applyFont="1" applyBorder="1" applyAlignment="1">
      <alignment horizontal="left" vertical="top"/>
    </xf>
    <xf numFmtId="0" fontId="27" fillId="0" borderId="7" xfId="30" applyFont="1" applyBorder="1" applyAlignment="1">
      <alignment horizontal="left" vertical="top"/>
    </xf>
    <xf numFmtId="0" fontId="7" fillId="0" borderId="6" xfId="30" applyFont="1" applyBorder="1" applyAlignment="1">
      <alignment horizontal="left" vertical="center"/>
    </xf>
    <xf numFmtId="0" fontId="7" fillId="0" borderId="7" xfId="30" applyFont="1" applyBorder="1" applyAlignment="1">
      <alignment horizontal="left" vertical="center"/>
    </xf>
    <xf numFmtId="0" fontId="7" fillId="0" borderId="2" xfId="30" applyFont="1" applyBorder="1" applyAlignment="1">
      <alignment horizontal="center"/>
    </xf>
    <xf numFmtId="0" fontId="7" fillId="0" borderId="3" xfId="30" applyFont="1" applyBorder="1" applyAlignment="1">
      <alignment horizontal="center"/>
    </xf>
    <xf numFmtId="0" fontId="7" fillId="0" borderId="4" xfId="30" applyFont="1" applyBorder="1" applyAlignment="1">
      <alignment horizontal="center"/>
    </xf>
    <xf numFmtId="4" fontId="27" fillId="0" borderId="2" xfId="30" applyNumberFormat="1" applyFont="1" applyBorder="1" applyAlignment="1">
      <alignment horizontal="center"/>
    </xf>
    <xf numFmtId="4" fontId="27" fillId="0" borderId="3" xfId="30" applyNumberFormat="1" applyFont="1" applyBorder="1" applyAlignment="1">
      <alignment horizontal="center"/>
    </xf>
    <xf numFmtId="4" fontId="27" fillId="0" borderId="4" xfId="30" applyNumberFormat="1" applyFont="1" applyBorder="1" applyAlignment="1">
      <alignment horizontal="center"/>
    </xf>
    <xf numFmtId="0" fontId="5" fillId="0" borderId="34" xfId="30" applyFont="1" applyBorder="1" applyAlignment="1">
      <alignment horizontal="center" vertical="center"/>
    </xf>
    <xf numFmtId="0" fontId="5" fillId="0" borderId="31" xfId="30" applyFont="1" applyBorder="1" applyAlignment="1">
      <alignment horizontal="center" vertical="center"/>
    </xf>
    <xf numFmtId="0" fontId="5" fillId="0" borderId="34" xfId="30" applyFont="1" applyBorder="1" applyAlignment="1">
      <alignment horizontal="left" vertical="center"/>
    </xf>
    <xf numFmtId="0" fontId="5" fillId="0" borderId="8" xfId="30" applyFont="1" applyBorder="1" applyAlignment="1">
      <alignment horizontal="left" vertical="center"/>
    </xf>
    <xf numFmtId="16" fontId="28" fillId="0" borderId="8" xfId="30" applyNumberFormat="1" applyFont="1" applyBorder="1" applyAlignment="1">
      <alignment horizontal="center" vertical="center"/>
    </xf>
    <xf numFmtId="16" fontId="28" fillId="0" borderId="31" xfId="30" applyNumberFormat="1" applyFont="1" applyBorder="1" applyAlignment="1">
      <alignment horizontal="center" vertical="center"/>
    </xf>
    <xf numFmtId="0" fontId="5" fillId="0" borderId="8" xfId="30" applyFont="1" applyBorder="1" applyAlignment="1">
      <alignment horizontal="distributed" vertical="center"/>
    </xf>
    <xf numFmtId="174" fontId="28" fillId="0" borderId="8" xfId="30" applyNumberFormat="1" applyFont="1" applyBorder="1" applyAlignment="1">
      <alignment horizontal="right" vertical="center"/>
    </xf>
    <xf numFmtId="174" fontId="28" fillId="0" borderId="31" xfId="30" applyNumberFormat="1" applyFont="1" applyBorder="1" applyAlignment="1">
      <alignment horizontal="right" vertical="center"/>
    </xf>
    <xf numFmtId="0" fontId="28" fillId="0" borderId="0" xfId="30" applyFont="1" applyAlignment="1">
      <alignment horizontal="center" vertical="center"/>
    </xf>
    <xf numFmtId="0" fontId="28" fillId="0" borderId="10" xfId="30" applyFont="1" applyBorder="1" applyAlignment="1">
      <alignment horizontal="center" vertical="center"/>
    </xf>
    <xf numFmtId="0" fontId="5" fillId="0" borderId="9" xfId="30" applyFont="1" applyBorder="1" applyAlignment="1">
      <alignment horizontal="left" vertical="center"/>
    </xf>
    <xf numFmtId="0" fontId="5" fillId="0" borderId="6" xfId="30" applyFont="1" applyBorder="1" applyAlignment="1">
      <alignment horizontal="left" vertical="center"/>
    </xf>
    <xf numFmtId="0" fontId="28" fillId="0" borderId="6" xfId="30" applyFont="1" applyBorder="1" applyAlignment="1">
      <alignment horizontal="center" vertical="center"/>
    </xf>
    <xf numFmtId="0" fontId="28" fillId="0" borderId="7" xfId="3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30" applyFont="1" applyBorder="1" applyAlignment="1">
      <alignment horizontal="center"/>
    </xf>
    <xf numFmtId="0" fontId="5" fillId="0" borderId="3" xfId="30" applyFont="1" applyBorder="1" applyAlignment="1">
      <alignment horizontal="center"/>
    </xf>
    <xf numFmtId="0" fontId="5" fillId="0" borderId="4" xfId="30" applyFont="1" applyBorder="1" applyAlignment="1">
      <alignment horizontal="center"/>
    </xf>
    <xf numFmtId="0" fontId="12" fillId="0" borderId="33" xfId="30" applyFont="1" applyBorder="1" applyAlignment="1">
      <alignment horizontal="center" vertical="center"/>
    </xf>
    <xf numFmtId="0" fontId="12" fillId="0" borderId="32" xfId="30" applyFont="1" applyBorder="1" applyAlignment="1">
      <alignment horizontal="center" vertical="center"/>
    </xf>
    <xf numFmtId="0" fontId="12" fillId="0" borderId="0" xfId="30" applyFont="1" applyAlignment="1">
      <alignment horizontal="center" vertical="center"/>
    </xf>
    <xf numFmtId="0" fontId="12" fillId="0" borderId="6" xfId="30" applyFont="1" applyBorder="1" applyAlignment="1">
      <alignment horizontal="center" vertical="center"/>
    </xf>
    <xf numFmtId="0" fontId="12" fillId="0" borderId="25" xfId="30" applyFont="1" applyBorder="1" applyAlignment="1">
      <alignment horizontal="center" vertical="justify"/>
    </xf>
    <xf numFmtId="0" fontId="12" fillId="0" borderId="32" xfId="30" applyFont="1" applyBorder="1" applyAlignment="1">
      <alignment horizontal="center" vertical="justify"/>
    </xf>
    <xf numFmtId="0" fontId="12" fillId="0" borderId="9" xfId="30" applyFont="1" applyBorder="1" applyAlignment="1">
      <alignment horizontal="center"/>
    </xf>
    <xf numFmtId="0" fontId="12" fillId="0" borderId="6" xfId="30" applyFont="1" applyBorder="1" applyAlignment="1">
      <alignment horizontal="center"/>
    </xf>
    <xf numFmtId="0" fontId="12" fillId="0" borderId="7" xfId="30" applyFont="1" applyBorder="1" applyAlignment="1">
      <alignment horizontal="center"/>
    </xf>
    <xf numFmtId="0" fontId="3" fillId="0" borderId="0" xfId="29" applyAlignment="1">
      <alignment horizontal="center" vertical="center"/>
    </xf>
    <xf numFmtId="14" fontId="5" fillId="0" borderId="8" xfId="30" applyNumberFormat="1" applyFont="1" applyBorder="1" applyAlignment="1">
      <alignment horizontal="center" vertical="center"/>
    </xf>
    <xf numFmtId="14" fontId="5" fillId="0" borderId="31" xfId="30" applyNumberFormat="1" applyFont="1" applyBorder="1" applyAlignment="1">
      <alignment horizontal="center" vertical="center"/>
    </xf>
    <xf numFmtId="0" fontId="5" fillId="0" borderId="0" xfId="29" applyFont="1" applyAlignment="1">
      <alignment horizontal="left" vertical="center"/>
    </xf>
    <xf numFmtId="0" fontId="3" fillId="0" borderId="0" xfId="29" applyAlignment="1">
      <alignment horizontal="left" vertical="center"/>
    </xf>
    <xf numFmtId="0" fontId="3" fillId="0" borderId="0" xfId="29" applyAlignment="1">
      <alignment horizontal="center"/>
    </xf>
    <xf numFmtId="0" fontId="3" fillId="0" borderId="0" xfId="30"/>
    <xf numFmtId="0" fontId="30" fillId="0" borderId="0" xfId="29" applyFont="1" applyAlignment="1">
      <alignment horizontal="center" vertical="center"/>
    </xf>
    <xf numFmtId="0" fontId="30" fillId="0" borderId="0" xfId="30" applyFont="1" applyAlignment="1">
      <alignment vertical="center"/>
    </xf>
    <xf numFmtId="0" fontId="5" fillId="0" borderId="0" xfId="29" applyFont="1" applyAlignment="1">
      <alignment horizontal="center"/>
    </xf>
    <xf numFmtId="14" fontId="5" fillId="0" borderId="6" xfId="30" applyNumberFormat="1" applyFont="1" applyBorder="1" applyAlignment="1">
      <alignment horizontal="center" vertical="center"/>
    </xf>
    <xf numFmtId="14" fontId="5" fillId="0" borderId="7" xfId="30" applyNumberFormat="1" applyFont="1" applyBorder="1" applyAlignment="1">
      <alignment horizontal="center" vertical="center"/>
    </xf>
  </cellXfs>
  <cellStyles count="46">
    <cellStyle name="Moeda 2" xfId="5" xr:uid="{00000000-0005-0000-0000-000000000000}"/>
    <cellStyle name="Moeda 2 2" xfId="37" xr:uid="{00000000-0005-0000-0000-000001000000}"/>
    <cellStyle name="Moeda 3" xfId="6" xr:uid="{00000000-0005-0000-0000-000002000000}"/>
    <cellStyle name="Moeda 4" xfId="7" xr:uid="{00000000-0005-0000-0000-000003000000}"/>
    <cellStyle name="Moeda 5" xfId="8" xr:uid="{00000000-0005-0000-0000-000004000000}"/>
    <cellStyle name="Moeda 5 2" xfId="34" xr:uid="{00000000-0005-0000-0000-000005000000}"/>
    <cellStyle name="Moeda 6" xfId="28" xr:uid="{00000000-0005-0000-0000-000006000000}"/>
    <cellStyle name="Moeda 6 2" xfId="45" xr:uid="{00000000-0005-0000-0000-000007000000}"/>
    <cellStyle name="Moeda 7" xfId="43" xr:uid="{00000000-0005-0000-0000-000008000000}"/>
    <cellStyle name="Normal" xfId="0" builtinId="0"/>
    <cellStyle name="Normal 2" xfId="1" xr:uid="{00000000-0005-0000-0000-00000A000000}"/>
    <cellStyle name="Normal 2 2" xfId="9" xr:uid="{00000000-0005-0000-0000-00000B000000}"/>
    <cellStyle name="Normal 2 2 2" xfId="30" xr:uid="{00000000-0005-0000-0000-00000C000000}"/>
    <cellStyle name="Normal 3" xfId="10" xr:uid="{00000000-0005-0000-0000-00000D000000}"/>
    <cellStyle name="Normal 3 2" xfId="29" xr:uid="{00000000-0005-0000-0000-00000E000000}"/>
    <cellStyle name="Normal 4" xfId="11" xr:uid="{00000000-0005-0000-0000-00000F000000}"/>
    <cellStyle name="Normal 4 2" xfId="38" xr:uid="{00000000-0005-0000-0000-000010000000}"/>
    <cellStyle name="Normal 4 3" xfId="39" xr:uid="{00000000-0005-0000-0000-000011000000}"/>
    <cellStyle name="Normal 4 4" xfId="44" xr:uid="{00000000-0005-0000-0000-000012000000}"/>
    <cellStyle name="Normal 5" xfId="12" xr:uid="{00000000-0005-0000-0000-000013000000}"/>
    <cellStyle name="Normal 6" xfId="13" xr:uid="{00000000-0005-0000-0000-000014000000}"/>
    <cellStyle name="Normal 7" xfId="40" xr:uid="{00000000-0005-0000-0000-000015000000}"/>
    <cellStyle name="Normal 8" xfId="14" xr:uid="{00000000-0005-0000-0000-000016000000}"/>
    <cellStyle name="Porcentagem" xfId="33" builtinId="5"/>
    <cellStyle name="Porcentagem 2" xfId="15" xr:uid="{00000000-0005-0000-0000-000018000000}"/>
    <cellStyle name="Porcentagem 2 2" xfId="36" xr:uid="{00000000-0005-0000-0000-000019000000}"/>
    <cellStyle name="Porcentagem 3" xfId="16" xr:uid="{00000000-0005-0000-0000-00001A000000}"/>
    <cellStyle name="Porcentagem 4" xfId="32" xr:uid="{00000000-0005-0000-0000-00001B000000}"/>
    <cellStyle name="Porcentagem 5" xfId="42" xr:uid="{00000000-0005-0000-0000-00001C000000}"/>
    <cellStyle name="Separador de milhares 2" xfId="2" xr:uid="{00000000-0005-0000-0000-00001D000000}"/>
    <cellStyle name="Separador de milhares 2 2" xfId="4" xr:uid="{00000000-0005-0000-0000-00001E000000}"/>
    <cellStyle name="Separador de milhares 2 2 2" xfId="27" xr:uid="{00000000-0005-0000-0000-00001F000000}"/>
    <cellStyle name="Separador de milhares 2 3" xfId="17" xr:uid="{00000000-0005-0000-0000-000020000000}"/>
    <cellStyle name="Separador de milhares 2 4" xfId="18" xr:uid="{00000000-0005-0000-0000-000021000000}"/>
    <cellStyle name="Separador de milhares 2 5" xfId="31" xr:uid="{00000000-0005-0000-0000-000022000000}"/>
    <cellStyle name="Separador de milhares 3" xfId="19" xr:uid="{00000000-0005-0000-0000-000023000000}"/>
    <cellStyle name="Separador de milhares 3 2" xfId="20" xr:uid="{00000000-0005-0000-0000-000024000000}"/>
    <cellStyle name="Separador de milhares 4" xfId="21" xr:uid="{00000000-0005-0000-0000-000025000000}"/>
    <cellStyle name="Separador de milhares 5" xfId="22" xr:uid="{00000000-0005-0000-0000-000026000000}"/>
    <cellStyle name="Separador de milhares 6" xfId="35" xr:uid="{00000000-0005-0000-0000-000027000000}"/>
    <cellStyle name="Vírgula" xfId="3" builtinId="3"/>
    <cellStyle name="Vírgula 2" xfId="23" xr:uid="{00000000-0005-0000-0000-000029000000}"/>
    <cellStyle name="Vírgula 3" xfId="24" xr:uid="{00000000-0005-0000-0000-00002A000000}"/>
    <cellStyle name="Vírgula 4" xfId="25" xr:uid="{00000000-0005-0000-0000-00002B000000}"/>
    <cellStyle name="Vírgula 5" xfId="26" xr:uid="{00000000-0005-0000-0000-00002C000000}"/>
    <cellStyle name="Vírgula 6" xfId="41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image" Target="../media/image3.emf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342900" cy="366041"/>
    <xdr:pic>
      <xdr:nvPicPr>
        <xdr:cNvPr id="2" name="Imagem 1" descr="C:\Documents and Settings\1836860\Meus documentos\Logo IFR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342900" cy="366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447675</xdr:colOff>
      <xdr:row>446</xdr:row>
      <xdr:rowOff>47625</xdr:rowOff>
    </xdr:from>
    <xdr:to>
      <xdr:col>7</xdr:col>
      <xdr:colOff>358059</xdr:colOff>
      <xdr:row>452</xdr:row>
      <xdr:rowOff>110510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89E2245-591B-47F6-8F81-BA00F512933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1850" y="76638150"/>
          <a:ext cx="2367834" cy="1034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1495425</xdr:colOff>
      <xdr:row>25</xdr:row>
      <xdr:rowOff>35721</xdr:rowOff>
    </xdr:from>
    <xdr:ext cx="2752725" cy="335754"/>
    <xdr:pic>
      <xdr:nvPicPr>
        <xdr:cNvPr id="2" name="Picture 39">
          <a:extLst>
            <a:ext uri="{FF2B5EF4-FFF2-40B4-BE49-F238E27FC236}">
              <a16:creationId xmlns:a16="http://schemas.microsoft.com/office/drawing/2014/main" id="{349086E2-F985-4CAE-9DB8-CE1BBB5AD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731546"/>
          <a:ext cx="2752725" cy="335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1628775</xdr:colOff>
      <xdr:row>30</xdr:row>
      <xdr:rowOff>57150</xdr:rowOff>
    </xdr:from>
    <xdr:ext cx="4629150" cy="1200150"/>
    <xdr:pic>
      <xdr:nvPicPr>
        <xdr:cNvPr id="3" name="Imagem 7">
          <a:extLst>
            <a:ext uri="{FF2B5EF4-FFF2-40B4-BE49-F238E27FC236}">
              <a16:creationId xmlns:a16="http://schemas.microsoft.com/office/drawing/2014/main" id="{A3B4002F-6425-40BC-A1CF-3B2F675E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5953125"/>
          <a:ext cx="46291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361950</xdr:colOff>
      <xdr:row>0</xdr:row>
      <xdr:rowOff>28575</xdr:rowOff>
    </xdr:from>
    <xdr:ext cx="314325" cy="364331"/>
    <xdr:pic>
      <xdr:nvPicPr>
        <xdr:cNvPr id="4" name="Imagem 1" descr="C:\Documents and Settings\1836860\Meus documentos\Logo IFRN.JPG">
          <a:extLst>
            <a:ext uri="{FF2B5EF4-FFF2-40B4-BE49-F238E27FC236}">
              <a16:creationId xmlns:a16="http://schemas.microsoft.com/office/drawing/2014/main" id="{005B1281-555B-47FD-B10F-2BF93E29E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314325" cy="36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1809750</xdr:colOff>
      <xdr:row>45</xdr:row>
      <xdr:rowOff>47625</xdr:rowOff>
    </xdr:from>
    <xdr:to>
      <xdr:col>5</xdr:col>
      <xdr:colOff>47625</xdr:colOff>
      <xdr:row>51</xdr:row>
      <xdr:rowOff>111036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F377B59-BCA2-415F-A932-3CBC4A82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62275" y="9448800"/>
          <a:ext cx="2343150" cy="1015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0</xdr:col>
      <xdr:colOff>371475</xdr:colOff>
      <xdr:row>1</xdr:row>
      <xdr:rowOff>180976</xdr:rowOff>
    </xdr:to>
    <xdr:pic>
      <xdr:nvPicPr>
        <xdr:cNvPr id="2" name="Imagem 1" descr="C:\Documents and Settings\1836860\Meus documentos\Logo IFR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1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2019300</xdr:colOff>
      <xdr:row>93</xdr:row>
      <xdr:rowOff>76200</xdr:rowOff>
    </xdr:from>
    <xdr:to>
      <xdr:col>5</xdr:col>
      <xdr:colOff>533400</xdr:colOff>
      <xdr:row>99</xdr:row>
      <xdr:rowOff>44361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3B5CA50-5594-41AF-8B4D-6B217FE5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3775" y="41471850"/>
          <a:ext cx="2343150" cy="10159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469107</xdr:colOff>
      <xdr:row>0</xdr:row>
      <xdr:rowOff>21431</xdr:rowOff>
    </xdr:from>
    <xdr:ext cx="507206" cy="359569"/>
    <xdr:pic>
      <xdr:nvPicPr>
        <xdr:cNvPr id="2" name="Imagem 1" descr="C:\Documents and Settings\1836860\Meus documentos\Logo IFRN.JPG">
          <a:extLst>
            <a:ext uri="{FF2B5EF4-FFF2-40B4-BE49-F238E27FC236}">
              <a16:creationId xmlns:a16="http://schemas.microsoft.com/office/drawing/2014/main" id="{33B231F6-D3CE-46CF-879A-3700B223A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7" y="21431"/>
          <a:ext cx="507206" cy="3595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2702718</xdr:colOff>
      <xdr:row>30</xdr:row>
      <xdr:rowOff>130970</xdr:rowOff>
    </xdr:from>
    <xdr:to>
      <xdr:col>2</xdr:col>
      <xdr:colOff>402810</xdr:colOff>
      <xdr:row>37</xdr:row>
      <xdr:rowOff>145422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3C2F8E-A2DA-4D13-9A78-45ED534F9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5743" y="5207795"/>
          <a:ext cx="2719767" cy="1147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0</xdr:col>
      <xdr:colOff>323850</xdr:colOff>
      <xdr:row>1</xdr:row>
      <xdr:rowOff>180975</xdr:rowOff>
    </xdr:to>
    <xdr:pic>
      <xdr:nvPicPr>
        <xdr:cNvPr id="2" name="Imagem 1" descr="C:\Documents and Settings\1836860\Meus documentos\Logo IFRN.JPG">
          <a:extLst>
            <a:ext uri="{FF2B5EF4-FFF2-40B4-BE49-F238E27FC236}">
              <a16:creationId xmlns:a16="http://schemas.microsoft.com/office/drawing/2014/main" id="{68D0419C-B370-4793-A059-DC78231BF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3048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53</xdr:row>
      <xdr:rowOff>33436</xdr:rowOff>
    </xdr:from>
    <xdr:to>
      <xdr:col>8</xdr:col>
      <xdr:colOff>783201</xdr:colOff>
      <xdr:row>59</xdr:row>
      <xdr:rowOff>152399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FFE264D-EFE8-444F-950F-E55FAC651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7586761"/>
          <a:ext cx="2383401" cy="10333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581025</xdr:colOff>
      <xdr:row>1</xdr:row>
      <xdr:rowOff>225607</xdr:rowOff>
    </xdr:to>
    <xdr:pic>
      <xdr:nvPicPr>
        <xdr:cNvPr id="2" name="Imagem 1" descr="C:\Documents and Settings\1836860\Meus documentos\Logo IFRN.JPG">
          <a:extLst>
            <a:ext uri="{FF2B5EF4-FFF2-40B4-BE49-F238E27FC236}">
              <a16:creationId xmlns:a16="http://schemas.microsoft.com/office/drawing/2014/main" id="{5E3206B3-0D7D-49C1-A4D2-2F5AD4498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533400" cy="444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247649</xdr:colOff>
      <xdr:row>0</xdr:row>
      <xdr:rowOff>38100</xdr:rowOff>
    </xdr:from>
    <xdr:to>
      <xdr:col>11</xdr:col>
      <xdr:colOff>962024</xdr:colOff>
      <xdr:row>2</xdr:row>
      <xdr:rowOff>228600</xdr:rowOff>
    </xdr:to>
    <xdr:pic>
      <xdr:nvPicPr>
        <xdr:cNvPr id="4" name="Imagem 3" descr="C:\Users\Alexandre Freitas\AppData\Local\Microsoft\Windows\INetCache\Content.Word\logoblu.png">
          <a:extLst>
            <a:ext uri="{FF2B5EF4-FFF2-40B4-BE49-F238E27FC236}">
              <a16:creationId xmlns:a16="http://schemas.microsoft.com/office/drawing/2014/main" id="{1B3E17F2-FF99-45F5-864C-0EF16C27CD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9" y="38100"/>
          <a:ext cx="26765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2562225</xdr:colOff>
      <xdr:row>0</xdr:row>
      <xdr:rowOff>28575</xdr:rowOff>
    </xdr:from>
    <xdr:to>
      <xdr:col>4</xdr:col>
      <xdr:colOff>485775</xdr:colOff>
      <xdr:row>0</xdr:row>
      <xdr:rowOff>733425</xdr:rowOff>
    </xdr:to>
    <xdr:pic>
      <xdr:nvPicPr>
        <xdr:cNvPr id="3" name="Imagem 2" descr="C:\Users\Alexandre Freitas\AppData\Local\Microsoft\Windows\INetCache\Content.Word\logoblu.png">
          <a:extLst>
            <a:ext uri="{FF2B5EF4-FFF2-40B4-BE49-F238E27FC236}">
              <a16:creationId xmlns:a16="http://schemas.microsoft.com/office/drawing/2014/main" id="{CC4C97F3-5560-44C3-A33B-A9FB2A57E8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28575"/>
          <a:ext cx="26765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ssoalcomp\c\Documents%20and%20Settings\pessoal\My%20Documents\Licita&#231;&#245;es%20Constru&#231;&#227;o\Composi&#231;&#227;o\DER\PM%20CABEDELO\composi&#231;ao%20Misula%20-%20Cabedelo%20-%20Portico%20-%20at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FRN\Nova%20Cruz\Engenharia\X%20-%20Piscina%20+%20Areninha\1-%20Or&#231;amento%20Pisc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mpus%20Caic&#243;%20(Ary)\Contratos\2020\Contrato%20117-2020\Or&#231;amento%20Licita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FRN\Caic&#243;\Engenharia\Campus%20Caic&#243;%20(Ary)\Contratos\2023\2-%20Contrato%20300-2023%20(Andrade%20&amp;%20Reis)\Medi&#231;&#245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 BASE CABEDELO"/>
      <sheetName val="INSUMOS"/>
      <sheetName val="COMPOSIÇÃO"/>
      <sheetName val="PLANILHA  MISULA"/>
      <sheetName val="CRONOGRAMA"/>
      <sheetName val="planilha encargos"/>
      <sheetName val="Configurações"/>
    </sheetNames>
    <sheetDataSet>
      <sheetData sheetId="0" refreshError="1"/>
      <sheetData sheetId="1" refreshError="1">
        <row r="8">
          <cell r="C8">
            <v>1.6</v>
          </cell>
        </row>
        <row r="9">
          <cell r="C9">
            <v>2.1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BDI"/>
      <sheetName val="Orçamento"/>
      <sheetName val="ADM"/>
      <sheetName val="Cronograma"/>
      <sheetName val="1ª Medição"/>
      <sheetName val="SIMEC"/>
      <sheetName val="Volume de Concreto"/>
      <sheetName val="Planilha1"/>
    </sheetNames>
    <sheetDataSet>
      <sheetData sheetId="0">
        <row r="1">
          <cell r="B1" t="str">
            <v>MINISTÉRIO DA EDUCAÇÃO - SECRETARIA DE EDUCAÇÃO PROFISSIONAL E TECNOLÓGICA</v>
          </cell>
        </row>
        <row r="2">
          <cell r="B2" t="str">
            <v>INSTITUTO FEDERAL DE EDUCAÇÃO, CIÊNCIA E TECNOLÓGIA DO RIO GRANDE DO NORTE - CAMPUS NOVA CRUZ</v>
          </cell>
        </row>
      </sheetData>
      <sheetData sheetId="1" refreshError="1"/>
      <sheetData sheetId="2">
        <row r="21">
          <cell r="C21" t="str">
            <v>ADMINISTRAÇÃO LOCAL DA OBRA, PARA CRONOGRAMA DE 7 MESES, EM CONFORMIDADE COM O ACÓRDÃO N°2.622/2013, ONDE A TAXA DE ADMINISTRAÇÃO LOCAL DA OBRA DEVE VARIAR ENTRE 3,49% E 8,87%.</v>
          </cell>
          <cell r="D21" t="str">
            <v>%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COMPOSIÇÕES"/>
      <sheetName val="ORÇAMENTO"/>
      <sheetName val="CRONOGRAMA"/>
      <sheetName val="BDI"/>
    </sheetNames>
    <sheetDataSet>
      <sheetData sheetId="0"/>
      <sheetData sheetId="1"/>
      <sheetData sheetId="2">
        <row r="4">
          <cell r="A4" t="str">
            <v>OBRA/SERVIÇOS:</v>
          </cell>
        </row>
        <row r="6">
          <cell r="A6" t="str">
            <v>LOCAL DA OBRA:</v>
          </cell>
        </row>
        <row r="8">
          <cell r="A8" t="str">
            <v>ÁREA CONSTRUÍDA:</v>
          </cell>
        </row>
        <row r="12">
          <cell r="A12" t="str">
            <v>ÍTEM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Composições"/>
      <sheetName val="BDI 2022"/>
      <sheetName val="Orçamento + BDI"/>
      <sheetName val="Cronograma"/>
      <sheetName val="1ª Medição"/>
      <sheetName val="2ª Medição"/>
      <sheetName val="3ª Medição"/>
      <sheetName val="1º TA (R$)"/>
      <sheetName val="4ª Medição"/>
      <sheetName val="2º TA (Prazo)"/>
      <sheetName val="5ª Medição"/>
      <sheetName val="6ª Medição"/>
      <sheetName val="7ª Medição"/>
      <sheetName val="3º TA (R$)"/>
      <sheetName val="4º TA (Prazo)"/>
      <sheetName val="8ª Medição"/>
      <sheetName val="9ª Medição"/>
      <sheetName val="5º TA (R$)"/>
      <sheetName val="10ª Medição"/>
      <sheetName val="11ª Medição"/>
      <sheetName val="SIMEC"/>
      <sheetName val="Volume de Concreto 1"/>
      <sheetName val="Volume de Concreto Projeto"/>
    </sheetNames>
    <sheetDataSet>
      <sheetData sheetId="0" refreshError="1"/>
      <sheetData sheetId="1" refreshError="1"/>
      <sheetData sheetId="2" refreshError="1">
        <row r="4">
          <cell r="A4" t="str">
            <v>SERVIÇO: RECUPERAÇÃO DA FACHADA NORTE DO GINÁSIO POLIESPORTIVO.</v>
          </cell>
        </row>
        <row r="6">
          <cell r="A6" t="str">
            <v>LOCAL DO SERVIÇO: IFRN - CAMPUS CAICÓ/RN.</v>
          </cell>
        </row>
        <row r="8">
          <cell r="A8" t="str">
            <v>ÁREA CONSTRUÍDA: 637,00 m².</v>
          </cell>
        </row>
      </sheetData>
      <sheetData sheetId="3" refreshError="1"/>
      <sheetData sheetId="4" refreshError="1"/>
      <sheetData sheetId="5" refreshError="1"/>
      <sheetData sheetId="6" refreshError="1">
        <row r="5">
          <cell r="F5" t="str">
            <v>05/12/2022 - 15/01/2023</v>
          </cell>
        </row>
        <row r="12">
          <cell r="J12">
            <v>0</v>
          </cell>
        </row>
        <row r="15">
          <cell r="J15">
            <v>4460.9895838919756</v>
          </cell>
        </row>
        <row r="26">
          <cell r="J26">
            <v>1905.2423412006531</v>
          </cell>
        </row>
        <row r="31">
          <cell r="J31">
            <v>3211.762308019222</v>
          </cell>
        </row>
        <row r="37">
          <cell r="J37">
            <v>73417.83845826477</v>
          </cell>
        </row>
        <row r="41">
          <cell r="J41">
            <v>5560.4282396427134</v>
          </cell>
        </row>
        <row r="45">
          <cell r="J45">
            <v>0</v>
          </cell>
        </row>
        <row r="51">
          <cell r="J51">
            <v>0</v>
          </cell>
        </row>
        <row r="56">
          <cell r="J56">
            <v>320.44446792670595</v>
          </cell>
        </row>
      </sheetData>
      <sheetData sheetId="7" refreshError="1">
        <row r="5">
          <cell r="F5" t="str">
            <v>16/01/2023 - 16/02/2023</v>
          </cell>
        </row>
        <row r="6">
          <cell r="F6">
            <v>44985</v>
          </cell>
        </row>
        <row r="12">
          <cell r="J12">
            <v>0</v>
          </cell>
        </row>
        <row r="15">
          <cell r="J15">
            <v>4252.9923375124145</v>
          </cell>
        </row>
        <row r="26">
          <cell r="J26">
            <v>0</v>
          </cell>
        </row>
        <row r="31">
          <cell r="J31">
            <v>9904.3249246082851</v>
          </cell>
        </row>
        <row r="37">
          <cell r="J37">
            <v>53010.234968940364</v>
          </cell>
        </row>
        <row r="41">
          <cell r="J41">
            <v>2173.3800514610834</v>
          </cell>
        </row>
        <row r="45">
          <cell r="J45">
            <v>0</v>
          </cell>
        </row>
        <row r="51">
          <cell r="J51">
            <v>0</v>
          </cell>
        </row>
        <row r="56">
          <cell r="J56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6"/>
  <sheetViews>
    <sheetView topLeftCell="A127" zoomScaleNormal="100" workbookViewId="0">
      <selection activeCell="P399" sqref="P399"/>
    </sheetView>
  </sheetViews>
  <sheetFormatPr defaultRowHeight="12.75" x14ac:dyDescent="0.2"/>
  <cols>
    <col min="1" max="1" width="6.28515625" style="53" customWidth="1"/>
    <col min="2" max="2" width="13" style="76" customWidth="1"/>
    <col min="3" max="6" width="12.28515625" style="76" customWidth="1"/>
    <col min="7" max="7" width="12.28515625" style="53" customWidth="1"/>
    <col min="8" max="8" width="9" style="53" bestFit="1" customWidth="1"/>
    <col min="9" max="9" width="11.140625" style="53" bestFit="1" customWidth="1"/>
    <col min="10" max="10" width="11" style="53" bestFit="1" customWidth="1"/>
    <col min="11" max="11" width="11.5703125" style="53" bestFit="1" customWidth="1"/>
    <col min="12" max="12" width="11.140625" style="53" bestFit="1" customWidth="1"/>
    <col min="13" max="19" width="9.140625" style="53"/>
    <col min="20" max="20" width="14" style="53" customWidth="1"/>
    <col min="21" max="21" width="12.42578125" style="53" customWidth="1"/>
    <col min="22" max="22" width="9.28515625" style="53" customWidth="1"/>
    <col min="23" max="16384" width="9.140625" style="53"/>
  </cols>
  <sheetData>
    <row r="1" spans="1:13" ht="15.75" customHeight="1" x14ac:dyDescent="0.2">
      <c r="A1" s="384"/>
      <c r="B1" s="385" t="s">
        <v>32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3" ht="15.75" customHeight="1" x14ac:dyDescent="0.2">
      <c r="A2" s="384"/>
      <c r="B2" s="385" t="s">
        <v>33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</row>
    <row r="3" spans="1:13" ht="12" customHeight="1" x14ac:dyDescent="0.2">
      <c r="A3" s="386"/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54"/>
    </row>
    <row r="4" spans="1:13" s="56" customFormat="1" ht="15" customHeight="1" x14ac:dyDescent="0.2">
      <c r="A4" s="385" t="s">
        <v>34</v>
      </c>
      <c r="B4" s="385"/>
      <c r="C4" s="387" t="s">
        <v>441</v>
      </c>
      <c r="D4" s="387"/>
      <c r="E4" s="387"/>
      <c r="F4" s="387"/>
      <c r="G4" s="387"/>
      <c r="H4" s="387"/>
      <c r="I4" s="387"/>
      <c r="J4" s="388"/>
      <c r="K4" s="55" t="s">
        <v>35</v>
      </c>
      <c r="L4" s="77">
        <v>45527</v>
      </c>
    </row>
    <row r="5" spans="1:13" s="56" customFormat="1" ht="5.0999999999999996" customHeight="1" x14ac:dyDescent="0.2">
      <c r="A5" s="384"/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</row>
    <row r="6" spans="1:13" s="56" customFormat="1" ht="15" customHeight="1" x14ac:dyDescent="0.2">
      <c r="A6" s="385" t="s">
        <v>36</v>
      </c>
      <c r="B6" s="385"/>
      <c r="C6" s="387" t="s">
        <v>420</v>
      </c>
      <c r="D6" s="387"/>
      <c r="E6" s="387"/>
      <c r="F6" s="387"/>
      <c r="G6" s="387"/>
      <c r="H6" s="387"/>
      <c r="I6" s="387"/>
      <c r="J6" s="388"/>
      <c r="K6" s="55" t="s">
        <v>37</v>
      </c>
      <c r="L6" s="2">
        <f>BDI!G24</f>
        <v>0.22474058685057496</v>
      </c>
    </row>
    <row r="7" spans="1:13" s="56" customFormat="1" ht="5.0999999999999996" customHeight="1" x14ac:dyDescent="0.2">
      <c r="A7" s="384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</row>
    <row r="8" spans="1:13" s="56" customFormat="1" ht="15" customHeight="1" x14ac:dyDescent="0.2">
      <c r="A8" s="385" t="s">
        <v>38</v>
      </c>
      <c r="B8" s="385"/>
      <c r="C8" s="387" t="s">
        <v>466</v>
      </c>
      <c r="D8" s="387"/>
      <c r="E8" s="387"/>
      <c r="F8" s="387"/>
      <c r="G8" s="387"/>
      <c r="H8" s="387"/>
      <c r="I8" s="387"/>
      <c r="J8" s="388"/>
      <c r="K8" s="55" t="s">
        <v>39</v>
      </c>
      <c r="L8" s="2">
        <f>BDI!H24</f>
        <v>0.10890619719771677</v>
      </c>
      <c r="M8" s="57"/>
    </row>
    <row r="9" spans="1:13" ht="18" customHeight="1" x14ac:dyDescent="0.2">
      <c r="A9" s="386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54"/>
    </row>
    <row r="10" spans="1:13" ht="15.75" x14ac:dyDescent="0.25">
      <c r="A10" s="389" t="s">
        <v>40</v>
      </c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</row>
    <row r="11" spans="1:13" s="56" customFormat="1" ht="24.75" customHeight="1" x14ac:dyDescent="0.2">
      <c r="A11" s="390"/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</row>
    <row r="12" spans="1:13" s="54" customFormat="1" x14ac:dyDescent="0.2">
      <c r="A12" s="58" t="s">
        <v>140</v>
      </c>
      <c r="B12" s="357" t="s">
        <v>104</v>
      </c>
      <c r="C12" s="358"/>
      <c r="D12" s="358"/>
      <c r="E12" s="358"/>
      <c r="F12" s="358"/>
      <c r="G12" s="358"/>
      <c r="H12" s="358"/>
      <c r="I12" s="358"/>
      <c r="J12" s="358"/>
      <c r="K12" s="358"/>
      <c r="L12" s="358"/>
    </row>
    <row r="13" spans="1:13" s="162" customFormat="1" ht="26.1" customHeight="1" x14ac:dyDescent="0.2">
      <c r="A13" s="59" t="s">
        <v>4</v>
      </c>
      <c r="B13" s="363" t="s">
        <v>279</v>
      </c>
      <c r="C13" s="364"/>
      <c r="D13" s="364"/>
      <c r="E13" s="364"/>
      <c r="F13" s="364"/>
      <c r="G13" s="364" t="s">
        <v>42</v>
      </c>
      <c r="H13" s="364" t="s">
        <v>10</v>
      </c>
      <c r="I13" s="364"/>
      <c r="J13" s="364"/>
      <c r="K13" s="365">
        <v>0</v>
      </c>
      <c r="L13" s="60" t="s">
        <v>10</v>
      </c>
    </row>
    <row r="14" spans="1:13" s="162" customFormat="1" x14ac:dyDescent="0.2">
      <c r="A14" s="68" t="s">
        <v>108</v>
      </c>
      <c r="B14" s="62"/>
      <c r="C14" s="62"/>
      <c r="D14" s="62"/>
      <c r="E14" s="62"/>
      <c r="F14" s="62"/>
      <c r="G14" s="63"/>
      <c r="H14" s="64"/>
      <c r="I14" s="65"/>
      <c r="J14" s="65"/>
      <c r="K14" s="65"/>
      <c r="L14" s="65"/>
    </row>
    <row r="15" spans="1:13" s="162" customFormat="1" x14ac:dyDescent="0.2">
      <c r="A15" s="68"/>
      <c r="B15" s="62"/>
      <c r="C15" s="62"/>
      <c r="D15" s="362" t="s">
        <v>431</v>
      </c>
      <c r="E15" s="362"/>
      <c r="F15" s="362"/>
      <c r="G15" s="362"/>
      <c r="H15" s="362"/>
      <c r="I15" s="362"/>
      <c r="J15" s="65"/>
      <c r="K15" s="65"/>
      <c r="L15" s="65"/>
    </row>
    <row r="16" spans="1:13" s="162" customFormat="1" x14ac:dyDescent="0.2">
      <c r="A16" s="61"/>
      <c r="B16" s="62"/>
      <c r="C16" s="62"/>
      <c r="D16" s="351" t="s">
        <v>280</v>
      </c>
      <c r="E16" s="351"/>
      <c r="F16" s="351"/>
      <c r="G16" s="351"/>
      <c r="H16" s="157">
        <v>100</v>
      </c>
      <c r="I16" s="66" t="s">
        <v>10</v>
      </c>
      <c r="J16" s="65"/>
      <c r="K16" s="65"/>
      <c r="L16" s="65"/>
    </row>
    <row r="17" spans="1:12" s="162" customFormat="1" x14ac:dyDescent="0.2">
      <c r="A17" s="61"/>
      <c r="B17" s="62"/>
      <c r="C17" s="62"/>
      <c r="D17" s="352" t="s">
        <v>41</v>
      </c>
      <c r="E17" s="352"/>
      <c r="F17" s="352"/>
      <c r="G17" s="352"/>
      <c r="H17" s="155">
        <f>H16</f>
        <v>100</v>
      </c>
      <c r="I17" s="67" t="s">
        <v>10</v>
      </c>
      <c r="J17" s="65"/>
      <c r="K17" s="65"/>
      <c r="L17" s="65"/>
    </row>
    <row r="18" spans="1:12" s="162" customFormat="1" x14ac:dyDescent="0.2">
      <c r="A18" s="61"/>
      <c r="B18" s="62"/>
      <c r="C18" s="62"/>
      <c r="D18" s="62"/>
      <c r="E18" s="62"/>
      <c r="F18" s="62"/>
      <c r="G18" s="63"/>
      <c r="H18" s="64"/>
      <c r="I18" s="65"/>
      <c r="J18" s="65"/>
      <c r="K18" s="65"/>
      <c r="L18" s="65"/>
    </row>
    <row r="19" spans="1:12" s="162" customFormat="1" x14ac:dyDescent="0.2">
      <c r="A19" s="69" t="s">
        <v>157</v>
      </c>
      <c r="B19" s="378" t="s">
        <v>155</v>
      </c>
      <c r="C19" s="379"/>
      <c r="D19" s="379"/>
      <c r="E19" s="379"/>
      <c r="F19" s="379"/>
      <c r="G19" s="379"/>
      <c r="H19" s="379"/>
      <c r="I19" s="379"/>
      <c r="J19" s="379"/>
      <c r="K19" s="380"/>
      <c r="L19" s="70" t="s">
        <v>156</v>
      </c>
    </row>
    <row r="20" spans="1:12" s="162" customFormat="1" x14ac:dyDescent="0.2">
      <c r="A20" s="61"/>
      <c r="B20" s="62"/>
      <c r="C20" s="62"/>
      <c r="D20" s="62"/>
      <c r="E20" s="62"/>
      <c r="F20" s="62"/>
      <c r="G20" s="63"/>
      <c r="H20" s="64"/>
      <c r="I20" s="65"/>
      <c r="J20" s="65"/>
      <c r="K20" s="65"/>
      <c r="L20" s="65"/>
    </row>
    <row r="21" spans="1:12" s="162" customFormat="1" x14ac:dyDescent="0.2">
      <c r="A21" s="61"/>
      <c r="B21" s="62"/>
      <c r="C21" s="62"/>
      <c r="D21" s="362" t="s">
        <v>431</v>
      </c>
      <c r="E21" s="362"/>
      <c r="F21" s="362"/>
      <c r="G21" s="362"/>
      <c r="H21" s="362"/>
      <c r="I21" s="362"/>
      <c r="J21" s="65"/>
      <c r="K21" s="65"/>
      <c r="L21" s="65"/>
    </row>
    <row r="22" spans="1:12" s="162" customFormat="1" x14ac:dyDescent="0.2">
      <c r="A22" s="61"/>
      <c r="B22" s="62"/>
      <c r="C22" s="62"/>
      <c r="D22" s="351" t="s">
        <v>109</v>
      </c>
      <c r="E22" s="351"/>
      <c r="F22" s="351"/>
      <c r="G22" s="351"/>
      <c r="H22" s="157">
        <v>1</v>
      </c>
      <c r="I22" s="66" t="s">
        <v>105</v>
      </c>
      <c r="J22" s="65"/>
      <c r="K22" s="65"/>
      <c r="L22" s="65"/>
    </row>
    <row r="23" spans="1:12" s="162" customFormat="1" x14ac:dyDescent="0.2">
      <c r="A23" s="61"/>
      <c r="B23" s="62"/>
      <c r="C23" s="62"/>
      <c r="D23" s="352" t="s">
        <v>41</v>
      </c>
      <c r="E23" s="352"/>
      <c r="F23" s="352"/>
      <c r="G23" s="352"/>
      <c r="H23" s="155">
        <f>SUM(H22:H22)</f>
        <v>1</v>
      </c>
      <c r="I23" s="67" t="s">
        <v>105</v>
      </c>
      <c r="J23" s="65"/>
      <c r="K23" s="65"/>
      <c r="L23" s="65"/>
    </row>
    <row r="24" spans="1:12" s="162" customFormat="1" x14ac:dyDescent="0.2">
      <c r="A24" s="61"/>
      <c r="B24" s="62"/>
      <c r="C24" s="62"/>
      <c r="D24" s="62"/>
      <c r="E24" s="62"/>
      <c r="F24" s="62"/>
      <c r="G24" s="63"/>
      <c r="H24" s="64"/>
      <c r="I24" s="65"/>
      <c r="J24" s="65"/>
      <c r="K24" s="65"/>
      <c r="L24" s="65"/>
    </row>
    <row r="25" spans="1:12" s="162" customFormat="1" ht="12.95" customHeight="1" x14ac:dyDescent="0.2">
      <c r="A25" s="71" t="s">
        <v>158</v>
      </c>
      <c r="B25" s="359" t="s">
        <v>281</v>
      </c>
      <c r="C25" s="360"/>
      <c r="D25" s="360"/>
      <c r="E25" s="360"/>
      <c r="F25" s="360"/>
      <c r="G25" s="360" t="s">
        <v>106</v>
      </c>
      <c r="H25" s="360" t="s">
        <v>5</v>
      </c>
      <c r="I25" s="360"/>
      <c r="J25" s="360"/>
      <c r="K25" s="361">
        <v>0</v>
      </c>
      <c r="L25" s="72" t="s">
        <v>61</v>
      </c>
    </row>
    <row r="26" spans="1:12" s="162" customFormat="1" x14ac:dyDescent="0.2">
      <c r="A26" s="61"/>
      <c r="B26" s="62"/>
      <c r="C26" s="62"/>
      <c r="D26" s="62"/>
      <c r="E26" s="62"/>
      <c r="F26" s="62"/>
      <c r="G26" s="63"/>
      <c r="H26" s="64"/>
      <c r="I26" s="65"/>
      <c r="J26" s="65"/>
      <c r="K26" s="65"/>
      <c r="L26" s="65"/>
    </row>
    <row r="27" spans="1:12" s="162" customFormat="1" x14ac:dyDescent="0.2">
      <c r="A27" s="61"/>
      <c r="B27" s="62"/>
      <c r="C27" s="62"/>
      <c r="D27" s="362" t="s">
        <v>431</v>
      </c>
      <c r="E27" s="362"/>
      <c r="F27" s="362"/>
      <c r="G27" s="362"/>
      <c r="H27" s="362"/>
      <c r="I27" s="362"/>
      <c r="J27" s="65"/>
      <c r="K27" s="65"/>
      <c r="L27" s="65"/>
    </row>
    <row r="28" spans="1:12" s="162" customFormat="1" x14ac:dyDescent="0.2">
      <c r="A28" s="61"/>
      <c r="B28" s="62"/>
      <c r="C28" s="62"/>
      <c r="D28" s="350" t="s">
        <v>282</v>
      </c>
      <c r="E28" s="350"/>
      <c r="F28" s="350"/>
      <c r="G28" s="350"/>
      <c r="H28" s="158">
        <v>0.3</v>
      </c>
      <c r="I28" s="73" t="s">
        <v>7</v>
      </c>
      <c r="J28" s="65"/>
      <c r="K28" s="65"/>
      <c r="L28" s="65"/>
    </row>
    <row r="29" spans="1:12" s="162" customFormat="1" x14ac:dyDescent="0.2">
      <c r="A29" s="61"/>
      <c r="B29" s="62"/>
      <c r="C29" s="62"/>
      <c r="D29" s="350" t="s">
        <v>110</v>
      </c>
      <c r="E29" s="350"/>
      <c r="F29" s="350"/>
      <c r="G29" s="350"/>
      <c r="H29" s="158">
        <f>8*H28</f>
        <v>2.4</v>
      </c>
      <c r="I29" s="73" t="s">
        <v>7</v>
      </c>
      <c r="J29" s="65"/>
      <c r="K29" s="65"/>
      <c r="L29" s="65"/>
    </row>
    <row r="30" spans="1:12" s="162" customFormat="1" x14ac:dyDescent="0.2">
      <c r="A30" s="61"/>
      <c r="B30" s="62"/>
      <c r="C30" s="62"/>
      <c r="D30" s="351" t="s">
        <v>111</v>
      </c>
      <c r="E30" s="351"/>
      <c r="F30" s="351"/>
      <c r="G30" s="351"/>
      <c r="H30" s="157">
        <f>4*H28</f>
        <v>1.2</v>
      </c>
      <c r="I30" s="66" t="s">
        <v>7</v>
      </c>
      <c r="J30" s="65"/>
      <c r="K30" s="65"/>
      <c r="L30" s="65"/>
    </row>
    <row r="31" spans="1:12" s="162" customFormat="1" x14ac:dyDescent="0.2">
      <c r="A31" s="61"/>
      <c r="B31" s="62"/>
      <c r="C31" s="62"/>
      <c r="D31" s="352" t="s">
        <v>41</v>
      </c>
      <c r="E31" s="352"/>
      <c r="F31" s="352"/>
      <c r="G31" s="352"/>
      <c r="H31" s="155">
        <f>H29*H30</f>
        <v>2.88</v>
      </c>
      <c r="I31" s="67" t="s">
        <v>5</v>
      </c>
      <c r="J31" s="65"/>
      <c r="K31" s="65"/>
      <c r="L31" s="65"/>
    </row>
    <row r="32" spans="1:12" s="162" customFormat="1" x14ac:dyDescent="0.2">
      <c r="A32" s="61"/>
      <c r="B32" s="62"/>
      <c r="C32" s="62"/>
      <c r="D32" s="62"/>
      <c r="E32" s="62"/>
      <c r="F32" s="62"/>
      <c r="G32" s="63"/>
      <c r="H32" s="64"/>
      <c r="I32" s="65"/>
      <c r="J32" s="65"/>
      <c r="K32" s="65"/>
      <c r="L32" s="65"/>
    </row>
    <row r="33" spans="1:26" s="162" customFormat="1" ht="25.5" customHeight="1" x14ac:dyDescent="0.2">
      <c r="A33" s="69" t="s">
        <v>160</v>
      </c>
      <c r="B33" s="366" t="s">
        <v>455</v>
      </c>
      <c r="C33" s="367"/>
      <c r="D33" s="367"/>
      <c r="E33" s="367"/>
      <c r="F33" s="367"/>
      <c r="G33" s="367"/>
      <c r="H33" s="367"/>
      <c r="I33" s="367"/>
      <c r="J33" s="367"/>
      <c r="K33" s="368"/>
      <c r="L33" s="74" t="s">
        <v>169</v>
      </c>
    </row>
    <row r="34" spans="1:26" s="162" customFormat="1" x14ac:dyDescent="0.2">
      <c r="A34" s="61"/>
      <c r="B34" s="62"/>
      <c r="C34" s="62"/>
      <c r="D34" s="62"/>
      <c r="E34" s="62"/>
      <c r="F34" s="62"/>
      <c r="G34" s="63"/>
      <c r="H34" s="64"/>
      <c r="I34" s="65"/>
      <c r="J34" s="65"/>
      <c r="K34" s="65"/>
      <c r="L34" s="65"/>
    </row>
    <row r="35" spans="1:26" s="162" customFormat="1" x14ac:dyDescent="0.2">
      <c r="A35" s="61"/>
      <c r="B35" s="62"/>
      <c r="C35" s="62"/>
      <c r="D35" s="362" t="s">
        <v>431</v>
      </c>
      <c r="E35" s="362"/>
      <c r="F35" s="362"/>
      <c r="G35" s="362"/>
      <c r="H35" s="362"/>
      <c r="I35" s="362"/>
      <c r="J35" s="65"/>
      <c r="K35" s="65"/>
      <c r="L35" s="65"/>
      <c r="N35" s="298">
        <v>0.5</v>
      </c>
      <c r="O35" s="297">
        <v>0.2</v>
      </c>
      <c r="P35" s="297">
        <v>3</v>
      </c>
      <c r="Q35" s="397">
        <v>35</v>
      </c>
      <c r="R35" s="397"/>
      <c r="S35" s="397"/>
      <c r="T35" s="297">
        <v>3</v>
      </c>
      <c r="U35" s="297">
        <v>0.2</v>
      </c>
      <c r="V35" s="299">
        <v>0.5</v>
      </c>
    </row>
    <row r="36" spans="1:26" s="162" customFormat="1" x14ac:dyDescent="0.2">
      <c r="A36" s="61"/>
      <c r="B36" s="62"/>
      <c r="C36" s="62"/>
      <c r="D36" s="350" t="s">
        <v>318</v>
      </c>
      <c r="E36" s="350"/>
      <c r="F36" s="350"/>
      <c r="G36" s="350"/>
      <c r="H36" s="158">
        <f>N35</f>
        <v>0.5</v>
      </c>
      <c r="I36" s="73" t="s">
        <v>7</v>
      </c>
      <c r="J36" s="65"/>
      <c r="K36" s="65"/>
      <c r="L36" s="65"/>
      <c r="N36" s="265"/>
      <c r="O36" s="269"/>
      <c r="P36" s="270"/>
      <c r="Q36" s="270"/>
      <c r="R36" s="270"/>
      <c r="S36" s="270"/>
      <c r="T36" s="270"/>
      <c r="U36" s="271"/>
      <c r="V36" s="300">
        <v>0.2</v>
      </c>
      <c r="X36" s="266"/>
      <c r="Y36" s="395" t="s">
        <v>442</v>
      </c>
      <c r="Z36" s="395"/>
    </row>
    <row r="37" spans="1:26" s="162" customFormat="1" x14ac:dyDescent="0.2">
      <c r="A37" s="61"/>
      <c r="B37" s="62"/>
      <c r="C37" s="62"/>
      <c r="D37" s="350" t="s">
        <v>440</v>
      </c>
      <c r="E37" s="350"/>
      <c r="F37" s="350"/>
      <c r="G37" s="350"/>
      <c r="H37" s="226">
        <f>O35</f>
        <v>0.2</v>
      </c>
      <c r="I37" s="73" t="s">
        <v>7</v>
      </c>
      <c r="J37" s="65"/>
      <c r="K37" s="65"/>
      <c r="L37" s="65"/>
      <c r="N37" s="265"/>
      <c r="O37" s="272"/>
      <c r="P37" s="278"/>
      <c r="Q37" s="279"/>
      <c r="R37" s="279"/>
      <c r="S37" s="279"/>
      <c r="T37" s="280"/>
      <c r="U37" s="273"/>
      <c r="V37" s="296">
        <v>3</v>
      </c>
      <c r="X37" s="274"/>
      <c r="Y37" s="395" t="s">
        <v>443</v>
      </c>
      <c r="Z37" s="395"/>
    </row>
    <row r="38" spans="1:26" s="162" customFormat="1" x14ac:dyDescent="0.2">
      <c r="A38" s="61"/>
      <c r="B38" s="62"/>
      <c r="C38" s="62"/>
      <c r="D38" s="350" t="s">
        <v>434</v>
      </c>
      <c r="E38" s="350"/>
      <c r="F38" s="350"/>
      <c r="G38" s="350"/>
      <c r="H38" s="226">
        <f>P35</f>
        <v>3</v>
      </c>
      <c r="I38" s="73" t="s">
        <v>7</v>
      </c>
      <c r="J38" s="65"/>
      <c r="K38" s="65"/>
      <c r="L38" s="65"/>
      <c r="N38" s="265"/>
      <c r="O38" s="272"/>
      <c r="P38" s="281"/>
      <c r="Q38" s="287"/>
      <c r="R38" s="288"/>
      <c r="S38" s="289"/>
      <c r="T38" s="282"/>
      <c r="U38" s="273"/>
      <c r="V38" s="396">
        <v>26</v>
      </c>
      <c r="X38" s="283"/>
      <c r="Y38" s="395" t="s">
        <v>444</v>
      </c>
      <c r="Z38" s="395"/>
    </row>
    <row r="39" spans="1:26" s="162" customFormat="1" x14ac:dyDescent="0.2">
      <c r="A39" s="61"/>
      <c r="B39" s="62"/>
      <c r="C39" s="62"/>
      <c r="D39" s="350" t="s">
        <v>435</v>
      </c>
      <c r="E39" s="350"/>
      <c r="F39" s="350"/>
      <c r="G39" s="350"/>
      <c r="H39" s="226">
        <f>T35</f>
        <v>3</v>
      </c>
      <c r="I39" s="73" t="s">
        <v>7</v>
      </c>
      <c r="J39" s="65"/>
      <c r="K39" s="65"/>
      <c r="L39" s="65"/>
      <c r="N39" s="265"/>
      <c r="O39" s="272"/>
      <c r="P39" s="281"/>
      <c r="Q39" s="290"/>
      <c r="R39" s="291"/>
      <c r="S39" s="292"/>
      <c r="T39" s="282"/>
      <c r="U39" s="273"/>
      <c r="V39" s="396"/>
      <c r="X39" s="291"/>
      <c r="Y39" s="395" t="s">
        <v>340</v>
      </c>
      <c r="Z39" s="395"/>
    </row>
    <row r="40" spans="1:26" s="162" customFormat="1" x14ac:dyDescent="0.2">
      <c r="A40" s="61"/>
      <c r="B40" s="62"/>
      <c r="C40" s="62"/>
      <c r="D40" s="350" t="s">
        <v>436</v>
      </c>
      <c r="E40" s="350"/>
      <c r="F40" s="350"/>
      <c r="G40" s="350"/>
      <c r="H40" s="226">
        <f>V37</f>
        <v>3</v>
      </c>
      <c r="I40" s="73" t="s">
        <v>7</v>
      </c>
      <c r="J40" s="65"/>
      <c r="K40" s="65"/>
      <c r="L40" s="65"/>
      <c r="N40" s="265"/>
      <c r="O40" s="272"/>
      <c r="P40" s="281"/>
      <c r="Q40" s="290"/>
      <c r="R40" s="291"/>
      <c r="S40" s="292"/>
      <c r="T40" s="282"/>
      <c r="U40" s="273"/>
      <c r="V40" s="396"/>
    </row>
    <row r="41" spans="1:26" s="162" customFormat="1" x14ac:dyDescent="0.2">
      <c r="A41" s="61"/>
      <c r="B41" s="62"/>
      <c r="C41" s="62"/>
      <c r="D41" s="350" t="s">
        <v>437</v>
      </c>
      <c r="E41" s="350"/>
      <c r="F41" s="350"/>
      <c r="G41" s="350"/>
      <c r="H41" s="226">
        <f>V44</f>
        <v>3</v>
      </c>
      <c r="I41" s="73" t="s">
        <v>7</v>
      </c>
      <c r="J41" s="65"/>
      <c r="K41" s="65"/>
      <c r="L41" s="65"/>
      <c r="N41" s="265"/>
      <c r="O41" s="272"/>
      <c r="P41" s="281"/>
      <c r="Q41" s="290"/>
      <c r="R41" s="291"/>
      <c r="S41" s="292"/>
      <c r="T41" s="282"/>
      <c r="U41" s="273"/>
      <c r="V41" s="396"/>
    </row>
    <row r="42" spans="1:26" s="162" customFormat="1" x14ac:dyDescent="0.2">
      <c r="A42" s="61"/>
      <c r="B42" s="62"/>
      <c r="C42" s="62"/>
      <c r="D42" s="350" t="s">
        <v>438</v>
      </c>
      <c r="E42" s="350"/>
      <c r="F42" s="350"/>
      <c r="G42" s="350"/>
      <c r="H42" s="226">
        <f>V38</f>
        <v>26</v>
      </c>
      <c r="I42" s="73" t="s">
        <v>7</v>
      </c>
      <c r="J42" s="65"/>
      <c r="K42" s="65"/>
      <c r="L42" s="65"/>
      <c r="N42" s="265"/>
      <c r="O42" s="272"/>
      <c r="P42" s="281"/>
      <c r="Q42" s="290"/>
      <c r="R42" s="291"/>
      <c r="S42" s="292"/>
      <c r="T42" s="282"/>
      <c r="U42" s="273"/>
      <c r="V42" s="396"/>
    </row>
    <row r="43" spans="1:26" s="162" customFormat="1" x14ac:dyDescent="0.2">
      <c r="A43" s="61"/>
      <c r="B43" s="62"/>
      <c r="C43" s="62"/>
      <c r="D43" s="350" t="s">
        <v>439</v>
      </c>
      <c r="E43" s="350"/>
      <c r="F43" s="350"/>
      <c r="G43" s="350"/>
      <c r="H43" s="226">
        <f>Q35</f>
        <v>35</v>
      </c>
      <c r="I43" s="73" t="s">
        <v>7</v>
      </c>
      <c r="J43" s="65"/>
      <c r="K43" s="65"/>
      <c r="L43" s="65"/>
      <c r="N43" s="265"/>
      <c r="O43" s="272"/>
      <c r="P43" s="281"/>
      <c r="Q43" s="293"/>
      <c r="R43" s="294"/>
      <c r="S43" s="295"/>
      <c r="T43" s="282"/>
      <c r="U43" s="273"/>
      <c r="V43" s="396"/>
    </row>
    <row r="44" spans="1:26" s="162" customFormat="1" x14ac:dyDescent="0.2">
      <c r="A44" s="61"/>
      <c r="B44" s="62"/>
      <c r="C44" s="62"/>
      <c r="D44" s="350" t="s">
        <v>432</v>
      </c>
      <c r="E44" s="350"/>
      <c r="F44" s="350"/>
      <c r="G44" s="350"/>
      <c r="H44" s="158">
        <f>2*H37+H40+H41+H42</f>
        <v>32.4</v>
      </c>
      <c r="I44" s="73" t="s">
        <v>7</v>
      </c>
      <c r="J44" s="65"/>
      <c r="K44" s="65"/>
      <c r="L44" s="65"/>
      <c r="N44" s="265"/>
      <c r="O44" s="272"/>
      <c r="P44" s="284"/>
      <c r="Q44" s="285"/>
      <c r="R44" s="285"/>
      <c r="S44" s="285"/>
      <c r="T44" s="286"/>
      <c r="U44" s="273"/>
      <c r="V44" s="296">
        <v>3</v>
      </c>
    </row>
    <row r="45" spans="1:26" s="162" customFormat="1" x14ac:dyDescent="0.2">
      <c r="A45" s="61"/>
      <c r="B45" s="62"/>
      <c r="C45" s="62"/>
      <c r="D45" s="350" t="s">
        <v>433</v>
      </c>
      <c r="E45" s="350"/>
      <c r="F45" s="350"/>
      <c r="G45" s="350"/>
      <c r="H45" s="157">
        <f>2*H37+H38+H39+H43</f>
        <v>41.4</v>
      </c>
      <c r="I45" s="66" t="s">
        <v>7</v>
      </c>
      <c r="J45" s="65"/>
      <c r="K45" s="65"/>
      <c r="L45" s="65"/>
      <c r="N45" s="265"/>
      <c r="O45" s="275"/>
      <c r="P45" s="276"/>
      <c r="Q45" s="276"/>
      <c r="R45" s="276"/>
      <c r="S45" s="276"/>
      <c r="T45" s="276"/>
      <c r="U45" s="277"/>
      <c r="V45" s="300">
        <v>0.2</v>
      </c>
    </row>
    <row r="46" spans="1:26" s="162" customFormat="1" x14ac:dyDescent="0.2">
      <c r="A46" s="61"/>
      <c r="B46" s="62"/>
      <c r="C46" s="62"/>
      <c r="D46" s="352" t="s">
        <v>41</v>
      </c>
      <c r="E46" s="352"/>
      <c r="F46" s="352"/>
      <c r="G46" s="352"/>
      <c r="H46" s="155">
        <f>H36+H44+H36+H36+H45+H36</f>
        <v>75.8</v>
      </c>
      <c r="I46" s="67" t="s">
        <v>7</v>
      </c>
      <c r="J46" s="65"/>
      <c r="K46" s="65"/>
      <c r="L46" s="65"/>
      <c r="N46" s="267"/>
      <c r="O46" s="268"/>
      <c r="P46" s="268"/>
      <c r="Q46" s="268"/>
      <c r="R46" s="268"/>
      <c r="S46" s="268"/>
      <c r="T46" s="268"/>
      <c r="U46" s="268"/>
      <c r="V46" s="301">
        <v>0.5</v>
      </c>
    </row>
    <row r="47" spans="1:26" s="54" customFormat="1" ht="12.75" customHeight="1" x14ac:dyDescent="0.2">
      <c r="A47" s="61"/>
      <c r="B47" s="62"/>
      <c r="C47" s="62"/>
      <c r="D47" s="155"/>
      <c r="E47" s="155"/>
      <c r="F47" s="155"/>
      <c r="G47" s="155"/>
      <c r="H47" s="155"/>
      <c r="I47" s="67"/>
      <c r="J47" s="65"/>
      <c r="K47" s="65"/>
      <c r="L47" s="65"/>
    </row>
    <row r="48" spans="1:26" s="162" customFormat="1" ht="25.5" customHeight="1" x14ac:dyDescent="0.2">
      <c r="A48" s="230" t="s">
        <v>161</v>
      </c>
      <c r="B48" s="381" t="s">
        <v>162</v>
      </c>
      <c r="C48" s="382"/>
      <c r="D48" s="382"/>
      <c r="E48" s="382"/>
      <c r="F48" s="382"/>
      <c r="G48" s="382" t="s">
        <v>107</v>
      </c>
      <c r="H48" s="382" t="s">
        <v>105</v>
      </c>
      <c r="I48" s="382"/>
      <c r="J48" s="382">
        <v>1585.06</v>
      </c>
      <c r="K48" s="383">
        <v>0</v>
      </c>
      <c r="L48" s="75" t="s">
        <v>61</v>
      </c>
    </row>
    <row r="49" spans="1:21" s="162" customFormat="1" x14ac:dyDescent="0.2">
      <c r="A49" s="61"/>
      <c r="B49" s="62"/>
      <c r="C49" s="62"/>
      <c r="D49" s="62"/>
      <c r="E49" s="62"/>
      <c r="F49" s="62"/>
      <c r="G49" s="63"/>
      <c r="H49" s="64"/>
      <c r="I49" s="65"/>
      <c r="J49" s="65"/>
      <c r="K49" s="65"/>
      <c r="L49" s="65"/>
    </row>
    <row r="50" spans="1:21" s="162" customFormat="1" x14ac:dyDescent="0.2">
      <c r="A50" s="61"/>
      <c r="B50" s="62"/>
      <c r="C50" s="62"/>
      <c r="D50" s="362" t="str">
        <f>D27</f>
        <v>Beach Soccer</v>
      </c>
      <c r="E50" s="362"/>
      <c r="F50" s="362"/>
      <c r="G50" s="362"/>
      <c r="H50" s="362"/>
      <c r="I50" s="362"/>
      <c r="J50" s="65"/>
      <c r="K50" s="65"/>
      <c r="L50" s="65"/>
    </row>
    <row r="51" spans="1:21" s="162" customFormat="1" x14ac:dyDescent="0.2">
      <c r="A51" s="61"/>
      <c r="B51" s="62"/>
      <c r="C51" s="62"/>
      <c r="D51" s="350" t="s">
        <v>112</v>
      </c>
      <c r="E51" s="350"/>
      <c r="F51" s="350"/>
      <c r="G51" s="350"/>
      <c r="H51" s="158">
        <v>1.75</v>
      </c>
      <c r="I51" s="73" t="s">
        <v>7</v>
      </c>
      <c r="J51" s="65"/>
      <c r="K51" s="65"/>
      <c r="L51" s="65"/>
    </row>
    <row r="52" spans="1:21" s="162" customFormat="1" x14ac:dyDescent="0.2">
      <c r="A52" s="61"/>
      <c r="B52" s="62"/>
      <c r="C52" s="62"/>
      <c r="D52" s="351" t="s">
        <v>113</v>
      </c>
      <c r="E52" s="351"/>
      <c r="F52" s="351"/>
      <c r="G52" s="351"/>
      <c r="H52" s="157">
        <v>2</v>
      </c>
      <c r="I52" s="66" t="s">
        <v>7</v>
      </c>
      <c r="J52" s="65"/>
      <c r="K52" s="65"/>
      <c r="L52" s="65"/>
    </row>
    <row r="53" spans="1:21" s="162" customFormat="1" x14ac:dyDescent="0.2">
      <c r="A53" s="61"/>
      <c r="B53" s="62"/>
      <c r="C53" s="62"/>
      <c r="D53" s="352" t="s">
        <v>41</v>
      </c>
      <c r="E53" s="352"/>
      <c r="F53" s="352"/>
      <c r="G53" s="352"/>
      <c r="H53" s="155">
        <f>H51*H52</f>
        <v>3.5</v>
      </c>
      <c r="I53" s="67" t="s">
        <v>5</v>
      </c>
      <c r="J53" s="65"/>
      <c r="K53" s="65"/>
      <c r="L53" s="65"/>
    </row>
    <row r="54" spans="1:21" s="162" customFormat="1" x14ac:dyDescent="0.2">
      <c r="A54" s="61"/>
      <c r="B54" s="62"/>
      <c r="C54" s="62"/>
      <c r="D54" s="62"/>
      <c r="E54" s="62"/>
      <c r="F54" s="62"/>
      <c r="G54" s="63"/>
      <c r="H54" s="64"/>
      <c r="I54" s="65"/>
      <c r="J54" s="65"/>
      <c r="K54" s="65"/>
      <c r="L54" s="65"/>
    </row>
    <row r="55" spans="1:21" s="162" customFormat="1" x14ac:dyDescent="0.2">
      <c r="A55" s="69" t="s">
        <v>163</v>
      </c>
      <c r="B55" s="378" t="s">
        <v>462</v>
      </c>
      <c r="C55" s="379"/>
      <c r="D55" s="379"/>
      <c r="E55" s="379"/>
      <c r="F55" s="379"/>
      <c r="G55" s="379"/>
      <c r="H55" s="379"/>
      <c r="I55" s="379"/>
      <c r="J55" s="379"/>
      <c r="K55" s="380"/>
      <c r="L55" s="70" t="s">
        <v>61</v>
      </c>
    </row>
    <row r="56" spans="1:21" s="162" customFormat="1" x14ac:dyDescent="0.2">
      <c r="A56" s="61"/>
      <c r="B56" s="62"/>
      <c r="C56" s="62"/>
      <c r="D56" s="62"/>
      <c r="E56" s="62"/>
      <c r="F56" s="62"/>
      <c r="G56" s="63"/>
      <c r="H56" s="64"/>
      <c r="I56" s="65"/>
      <c r="J56" s="65"/>
      <c r="K56" s="65"/>
      <c r="L56" s="65"/>
    </row>
    <row r="57" spans="1:21" s="162" customFormat="1" x14ac:dyDescent="0.2">
      <c r="A57" s="61"/>
      <c r="B57" s="62"/>
      <c r="C57" s="62"/>
      <c r="D57" s="362" t="str">
        <f>D15</f>
        <v>Beach Soccer</v>
      </c>
      <c r="E57" s="362"/>
      <c r="F57" s="362"/>
      <c r="G57" s="362"/>
      <c r="H57" s="362"/>
      <c r="I57" s="362"/>
      <c r="J57" s="65"/>
      <c r="K57" s="65"/>
      <c r="L57" s="65"/>
    </row>
    <row r="58" spans="1:21" s="162" customFormat="1" x14ac:dyDescent="0.2">
      <c r="A58" s="61"/>
      <c r="B58" s="62"/>
      <c r="C58" s="62"/>
      <c r="D58" s="350" t="s">
        <v>463</v>
      </c>
      <c r="E58" s="350"/>
      <c r="F58" s="350"/>
      <c r="G58" s="350"/>
      <c r="H58" s="226">
        <v>1.5</v>
      </c>
      <c r="I58" s="73" t="s">
        <v>7</v>
      </c>
      <c r="J58" s="65"/>
      <c r="K58" s="65"/>
      <c r="L58" s="65"/>
    </row>
    <row r="59" spans="1:21" s="162" customFormat="1" x14ac:dyDescent="0.2">
      <c r="A59" s="61"/>
      <c r="B59" s="62"/>
      <c r="C59" s="62"/>
      <c r="D59" s="351" t="s">
        <v>464</v>
      </c>
      <c r="E59" s="351"/>
      <c r="F59" s="351"/>
      <c r="G59" s="351"/>
      <c r="H59" s="327">
        <v>1</v>
      </c>
      <c r="I59" s="66" t="s">
        <v>7</v>
      </c>
      <c r="J59" s="65"/>
      <c r="K59" s="65"/>
      <c r="L59" s="65"/>
    </row>
    <row r="60" spans="1:21" s="162" customFormat="1" x14ac:dyDescent="0.2">
      <c r="A60" s="61"/>
      <c r="B60" s="62"/>
      <c r="C60" s="62"/>
      <c r="D60" s="352" t="s">
        <v>41</v>
      </c>
      <c r="E60" s="352"/>
      <c r="F60" s="352"/>
      <c r="G60" s="352"/>
      <c r="H60" s="326">
        <f>H58*H59</f>
        <v>1.5</v>
      </c>
      <c r="I60" s="67" t="s">
        <v>5</v>
      </c>
      <c r="J60" s="65"/>
      <c r="K60" s="65"/>
      <c r="L60" s="65"/>
    </row>
    <row r="61" spans="1:21" s="162" customFormat="1" x14ac:dyDescent="0.2">
      <c r="A61" s="61"/>
      <c r="B61" s="62"/>
      <c r="C61" s="62"/>
      <c r="D61" s="62"/>
      <c r="E61" s="62"/>
      <c r="F61" s="62"/>
      <c r="G61" s="63"/>
      <c r="H61" s="64"/>
      <c r="I61" s="65"/>
      <c r="J61" s="65"/>
      <c r="K61" s="65"/>
      <c r="L61" s="65"/>
    </row>
    <row r="62" spans="1:21" s="54" customFormat="1" ht="12.75" customHeight="1" x14ac:dyDescent="0.2">
      <c r="A62" s="71" t="s">
        <v>164</v>
      </c>
      <c r="B62" s="359" t="s">
        <v>490</v>
      </c>
      <c r="C62" s="360"/>
      <c r="D62" s="360"/>
      <c r="E62" s="360"/>
      <c r="F62" s="360"/>
      <c r="G62" s="360"/>
      <c r="H62" s="360"/>
      <c r="I62" s="360"/>
      <c r="J62" s="360"/>
      <c r="K62" s="361"/>
      <c r="L62" s="72" t="s">
        <v>151</v>
      </c>
      <c r="N62" s="162"/>
      <c r="O62" s="162"/>
      <c r="P62" s="162"/>
      <c r="Q62" s="162"/>
      <c r="R62" s="162"/>
      <c r="S62" s="162"/>
      <c r="T62" s="162"/>
      <c r="U62" s="162"/>
    </row>
    <row r="63" spans="1:21" s="162" customFormat="1" x14ac:dyDescent="0.2">
      <c r="A63" s="61"/>
      <c r="B63" s="62"/>
      <c r="C63" s="62"/>
      <c r="D63" s="62"/>
      <c r="E63" s="62"/>
      <c r="F63" s="62"/>
      <c r="G63" s="63"/>
      <c r="H63" s="64"/>
      <c r="I63" s="65"/>
      <c r="J63" s="65"/>
      <c r="K63" s="65"/>
      <c r="L63" s="65"/>
    </row>
    <row r="64" spans="1:21" s="162" customFormat="1" x14ac:dyDescent="0.2">
      <c r="A64" s="61"/>
      <c r="B64" s="62"/>
      <c r="C64" s="62"/>
      <c r="D64" s="362" t="str">
        <f>D50</f>
        <v>Beach Soccer</v>
      </c>
      <c r="E64" s="362"/>
      <c r="F64" s="362"/>
      <c r="G64" s="362"/>
      <c r="H64" s="362"/>
      <c r="I64" s="362"/>
      <c r="J64" s="65"/>
      <c r="K64" s="65"/>
      <c r="L64" s="65"/>
    </row>
    <row r="65" spans="1:21" s="162" customFormat="1" x14ac:dyDescent="0.2">
      <c r="A65" s="61"/>
      <c r="B65" s="62"/>
      <c r="C65" s="62"/>
      <c r="D65" s="351" t="s">
        <v>285</v>
      </c>
      <c r="E65" s="351"/>
      <c r="F65" s="351"/>
      <c r="G65" s="351"/>
      <c r="H65" s="157">
        <v>1</v>
      </c>
      <c r="I65" s="66" t="s">
        <v>105</v>
      </c>
      <c r="J65" s="65"/>
      <c r="K65" s="65"/>
      <c r="L65" s="65"/>
    </row>
    <row r="66" spans="1:21" s="162" customFormat="1" x14ac:dyDescent="0.2">
      <c r="A66" s="61"/>
      <c r="B66" s="62"/>
      <c r="C66" s="62"/>
      <c r="D66" s="352" t="s">
        <v>41</v>
      </c>
      <c r="E66" s="352"/>
      <c r="F66" s="352"/>
      <c r="G66" s="352"/>
      <c r="H66" s="155">
        <f>H65</f>
        <v>1</v>
      </c>
      <c r="I66" s="67" t="s">
        <v>105</v>
      </c>
      <c r="J66" s="65"/>
      <c r="K66" s="65"/>
      <c r="L66" s="65"/>
    </row>
    <row r="67" spans="1:21" s="162" customFormat="1" x14ac:dyDescent="0.2">
      <c r="A67" s="61"/>
      <c r="B67" s="62"/>
      <c r="C67" s="62"/>
      <c r="D67" s="62"/>
      <c r="E67" s="62"/>
      <c r="F67" s="62"/>
      <c r="G67" s="63"/>
      <c r="H67" s="64"/>
      <c r="I67" s="65"/>
      <c r="J67" s="65"/>
      <c r="K67" s="65"/>
      <c r="L67" s="65"/>
    </row>
    <row r="68" spans="1:21" s="162" customFormat="1" x14ac:dyDescent="0.2">
      <c r="A68" s="69" t="s">
        <v>165</v>
      </c>
      <c r="B68" s="378" t="s">
        <v>491</v>
      </c>
      <c r="C68" s="379"/>
      <c r="D68" s="379"/>
      <c r="E68" s="379"/>
      <c r="F68" s="379"/>
      <c r="G68" s="379"/>
      <c r="H68" s="379"/>
      <c r="I68" s="379"/>
      <c r="J68" s="379"/>
      <c r="K68" s="380"/>
      <c r="L68" s="70" t="s">
        <v>151</v>
      </c>
    </row>
    <row r="69" spans="1:21" s="162" customFormat="1" x14ac:dyDescent="0.2">
      <c r="A69" s="61"/>
      <c r="B69" s="62"/>
      <c r="C69" s="62"/>
      <c r="D69" s="62"/>
      <c r="E69" s="62"/>
      <c r="F69" s="62"/>
      <c r="G69" s="63"/>
      <c r="H69" s="64"/>
      <c r="I69" s="65"/>
      <c r="J69" s="65"/>
      <c r="K69" s="65"/>
      <c r="L69" s="65"/>
    </row>
    <row r="70" spans="1:21" s="162" customFormat="1" x14ac:dyDescent="0.2">
      <c r="A70" s="61"/>
      <c r="B70" s="62"/>
      <c r="C70" s="62"/>
      <c r="D70" s="362" t="str">
        <f>D64</f>
        <v>Beach Soccer</v>
      </c>
      <c r="E70" s="362"/>
      <c r="F70" s="362"/>
      <c r="G70" s="362"/>
      <c r="H70" s="362"/>
      <c r="I70" s="362"/>
      <c r="J70" s="65"/>
      <c r="K70" s="65"/>
      <c r="L70" s="65"/>
    </row>
    <row r="71" spans="1:21" s="162" customFormat="1" x14ac:dyDescent="0.2">
      <c r="A71" s="61"/>
      <c r="B71" s="62"/>
      <c r="C71" s="62"/>
      <c r="D71" s="351" t="s">
        <v>285</v>
      </c>
      <c r="E71" s="351"/>
      <c r="F71" s="351"/>
      <c r="G71" s="351"/>
      <c r="H71" s="157">
        <v>1</v>
      </c>
      <c r="I71" s="66" t="s">
        <v>166</v>
      </c>
      <c r="J71" s="65"/>
      <c r="K71" s="65"/>
      <c r="L71" s="65"/>
    </row>
    <row r="72" spans="1:21" s="162" customFormat="1" x14ac:dyDescent="0.2">
      <c r="A72" s="61"/>
      <c r="B72" s="62"/>
      <c r="C72" s="62"/>
      <c r="D72" s="352" t="s">
        <v>41</v>
      </c>
      <c r="E72" s="352"/>
      <c r="F72" s="352"/>
      <c r="G72" s="352"/>
      <c r="H72" s="155">
        <f>H71</f>
        <v>1</v>
      </c>
      <c r="I72" s="67" t="s">
        <v>166</v>
      </c>
      <c r="J72" s="65"/>
      <c r="K72" s="65"/>
      <c r="L72" s="65"/>
    </row>
    <row r="73" spans="1:21" s="162" customFormat="1" x14ac:dyDescent="0.2">
      <c r="A73" s="61"/>
      <c r="B73" s="62"/>
      <c r="C73" s="62"/>
      <c r="D73" s="62"/>
      <c r="E73" s="62"/>
      <c r="F73" s="62"/>
      <c r="G73" s="63"/>
      <c r="H73" s="64"/>
      <c r="I73" s="65"/>
      <c r="J73" s="65"/>
      <c r="K73" s="65"/>
      <c r="L73" s="65"/>
    </row>
    <row r="74" spans="1:21" s="54" customFormat="1" ht="12.75" customHeight="1" x14ac:dyDescent="0.2">
      <c r="A74" s="71" t="s">
        <v>167</v>
      </c>
      <c r="B74" s="359" t="s">
        <v>454</v>
      </c>
      <c r="C74" s="360"/>
      <c r="D74" s="360"/>
      <c r="E74" s="360"/>
      <c r="F74" s="360"/>
      <c r="G74" s="360"/>
      <c r="H74" s="360"/>
      <c r="I74" s="360"/>
      <c r="J74" s="360"/>
      <c r="K74" s="361"/>
      <c r="L74" s="72" t="s">
        <v>287</v>
      </c>
      <c r="N74" s="162"/>
      <c r="O74" s="162"/>
      <c r="P74" s="162"/>
      <c r="Q74" s="162"/>
      <c r="R74" s="162"/>
      <c r="S74" s="162"/>
      <c r="T74" s="162"/>
      <c r="U74" s="162"/>
    </row>
    <row r="75" spans="1:21" s="162" customFormat="1" x14ac:dyDescent="0.2">
      <c r="A75" s="61"/>
      <c r="B75" s="62"/>
      <c r="C75" s="62"/>
      <c r="D75" s="62"/>
      <c r="E75" s="62"/>
      <c r="F75" s="62"/>
      <c r="G75" s="63"/>
      <c r="H75" s="64"/>
      <c r="I75" s="65"/>
      <c r="J75" s="65"/>
      <c r="K75" s="65"/>
      <c r="L75" s="65"/>
    </row>
    <row r="76" spans="1:21" s="162" customFormat="1" x14ac:dyDescent="0.2">
      <c r="A76" s="61"/>
      <c r="B76" s="62"/>
      <c r="C76" s="62"/>
      <c r="D76" s="372" t="s">
        <v>288</v>
      </c>
      <c r="E76" s="372"/>
      <c r="F76" s="372"/>
      <c r="G76" s="372"/>
      <c r="H76" s="372"/>
      <c r="I76" s="372"/>
      <c r="J76" s="65"/>
      <c r="K76" s="65"/>
      <c r="L76" s="65"/>
    </row>
    <row r="77" spans="1:21" s="162" customFormat="1" x14ac:dyDescent="0.2">
      <c r="A77" s="61"/>
      <c r="B77" s="62"/>
      <c r="C77" s="62"/>
      <c r="D77" s="351" t="s">
        <v>289</v>
      </c>
      <c r="E77" s="351"/>
      <c r="F77" s="351"/>
      <c r="G77" s="351"/>
      <c r="H77" s="157">
        <v>80</v>
      </c>
      <c r="I77" s="66" t="s">
        <v>290</v>
      </c>
      <c r="J77" s="65"/>
      <c r="K77" s="65"/>
      <c r="L77" s="65"/>
    </row>
    <row r="78" spans="1:21" s="162" customFormat="1" x14ac:dyDescent="0.2">
      <c r="A78" s="61"/>
      <c r="B78" s="62"/>
      <c r="C78" s="62"/>
      <c r="D78" s="352" t="s">
        <v>41</v>
      </c>
      <c r="E78" s="352"/>
      <c r="F78" s="352"/>
      <c r="G78" s="352"/>
      <c r="H78" s="155">
        <f>H77</f>
        <v>80</v>
      </c>
      <c r="I78" s="67" t="s">
        <v>290</v>
      </c>
      <c r="J78" s="65"/>
      <c r="K78" s="65"/>
      <c r="L78" s="65"/>
    </row>
    <row r="79" spans="1:21" s="162" customFormat="1" ht="12.75" customHeight="1" x14ac:dyDescent="0.2">
      <c r="A79" s="61"/>
      <c r="B79" s="62"/>
      <c r="C79" s="62"/>
      <c r="D79" s="155"/>
      <c r="E79" s="155"/>
      <c r="F79" s="155"/>
      <c r="G79" s="155"/>
      <c r="H79" s="155"/>
      <c r="I79" s="67"/>
      <c r="J79" s="65"/>
      <c r="K79" s="65"/>
      <c r="L79" s="65"/>
    </row>
    <row r="80" spans="1:21" s="54" customFormat="1" x14ac:dyDescent="0.2">
      <c r="A80" s="58" t="s">
        <v>141</v>
      </c>
      <c r="B80" s="357" t="s">
        <v>17</v>
      </c>
      <c r="C80" s="358"/>
      <c r="D80" s="358"/>
      <c r="E80" s="358"/>
      <c r="F80" s="358"/>
      <c r="G80" s="358" t="s">
        <v>43</v>
      </c>
      <c r="H80" s="358"/>
      <c r="I80" s="358"/>
      <c r="J80" s="358"/>
      <c r="K80" s="358"/>
      <c r="L80" s="358">
        <v>0</v>
      </c>
    </row>
    <row r="81" spans="1:23" s="162" customFormat="1" ht="25.5" customHeight="1" x14ac:dyDescent="0.2">
      <c r="A81" s="71" t="s">
        <v>50</v>
      </c>
      <c r="B81" s="391" t="s">
        <v>291</v>
      </c>
      <c r="C81" s="392"/>
      <c r="D81" s="392"/>
      <c r="E81" s="392"/>
      <c r="F81" s="392"/>
      <c r="G81" s="392"/>
      <c r="H81" s="392"/>
      <c r="I81" s="392"/>
      <c r="J81" s="392"/>
      <c r="K81" s="393"/>
      <c r="L81" s="161" t="s">
        <v>61</v>
      </c>
    </row>
    <row r="82" spans="1:23" s="162" customFormat="1" x14ac:dyDescent="0.2">
      <c r="A82" s="61"/>
      <c r="B82" s="62"/>
      <c r="C82" s="62"/>
      <c r="D82" s="62"/>
      <c r="E82" s="62"/>
      <c r="F82" s="62"/>
      <c r="G82" s="63"/>
      <c r="H82" s="64"/>
      <c r="I82" s="65"/>
      <c r="J82" s="65"/>
      <c r="K82" s="65"/>
      <c r="L82" s="65"/>
    </row>
    <row r="83" spans="1:23" s="162" customFormat="1" x14ac:dyDescent="0.2">
      <c r="A83" s="61"/>
      <c r="B83" s="62"/>
      <c r="C83" s="62"/>
      <c r="D83" s="362" t="str">
        <f>D15</f>
        <v>Beach Soccer</v>
      </c>
      <c r="E83" s="362"/>
      <c r="F83" s="362"/>
      <c r="G83" s="362"/>
      <c r="H83" s="362"/>
      <c r="I83" s="362"/>
      <c r="J83" s="65"/>
      <c r="K83" s="65"/>
      <c r="L83" s="65"/>
    </row>
    <row r="84" spans="1:23" s="162" customFormat="1" x14ac:dyDescent="0.2">
      <c r="A84" s="61"/>
      <c r="B84" s="62"/>
      <c r="C84" s="62"/>
      <c r="D84" s="350" t="s">
        <v>421</v>
      </c>
      <c r="E84" s="350"/>
      <c r="F84" s="350"/>
      <c r="G84" s="350"/>
      <c r="H84" s="226">
        <v>2078.48</v>
      </c>
      <c r="I84" s="73" t="s">
        <v>5</v>
      </c>
      <c r="J84" s="65"/>
      <c r="K84" s="65"/>
      <c r="L84" s="65"/>
    </row>
    <row r="85" spans="1:23" s="162" customFormat="1" x14ac:dyDescent="0.2">
      <c r="A85" s="61"/>
      <c r="B85" s="62"/>
      <c r="C85" s="62"/>
      <c r="D85" s="351" t="s">
        <v>422</v>
      </c>
      <c r="E85" s="351"/>
      <c r="F85" s="351"/>
      <c r="G85" s="351"/>
      <c r="H85" s="157">
        <v>308</v>
      </c>
      <c r="I85" s="66" t="s">
        <v>5</v>
      </c>
      <c r="J85" s="65"/>
      <c r="K85" s="65"/>
      <c r="L85" s="65"/>
    </row>
    <row r="86" spans="1:23" s="162" customFormat="1" x14ac:dyDescent="0.2">
      <c r="A86" s="61"/>
      <c r="B86" s="62"/>
      <c r="C86" s="62"/>
      <c r="D86" s="374" t="s">
        <v>41</v>
      </c>
      <c r="E86" s="374"/>
      <c r="F86" s="374"/>
      <c r="G86" s="374"/>
      <c r="H86" s="155">
        <f>H84-H85</f>
        <v>1770.48</v>
      </c>
      <c r="I86" s="67" t="s">
        <v>5</v>
      </c>
      <c r="J86" s="65"/>
      <c r="K86" s="65"/>
      <c r="L86" s="65"/>
    </row>
    <row r="87" spans="1:23" s="54" customFormat="1" ht="12.75" customHeight="1" x14ac:dyDescent="0.2">
      <c r="A87" s="61"/>
      <c r="B87" s="62"/>
      <c r="C87" s="62"/>
      <c r="D87" s="52"/>
      <c r="E87" s="52"/>
      <c r="F87" s="52"/>
      <c r="G87" s="52"/>
      <c r="H87" s="52"/>
      <c r="I87" s="67"/>
      <c r="J87" s="65"/>
      <c r="K87" s="65"/>
      <c r="L87" s="65"/>
    </row>
    <row r="88" spans="1:23" s="162" customFormat="1" ht="25.5" customHeight="1" x14ac:dyDescent="0.2">
      <c r="A88" s="69" t="s">
        <v>51</v>
      </c>
      <c r="B88" s="366" t="s">
        <v>292</v>
      </c>
      <c r="C88" s="367"/>
      <c r="D88" s="367"/>
      <c r="E88" s="367"/>
      <c r="F88" s="367"/>
      <c r="G88" s="367"/>
      <c r="H88" s="367"/>
      <c r="I88" s="367"/>
      <c r="J88" s="367"/>
      <c r="K88" s="368"/>
      <c r="L88" s="74" t="s">
        <v>59</v>
      </c>
    </row>
    <row r="89" spans="1:23" s="162" customFormat="1" x14ac:dyDescent="0.2">
      <c r="A89" s="61"/>
      <c r="B89" s="62"/>
      <c r="C89" s="62"/>
      <c r="D89" s="62"/>
      <c r="E89" s="62"/>
      <c r="F89" s="62"/>
      <c r="G89" s="63"/>
      <c r="H89" s="64"/>
      <c r="I89" s="65"/>
      <c r="J89" s="65"/>
      <c r="K89" s="65"/>
      <c r="L89" s="65"/>
      <c r="M89" s="254">
        <v>1</v>
      </c>
      <c r="S89" s="252">
        <v>1</v>
      </c>
    </row>
    <row r="90" spans="1:23" s="162" customFormat="1" x14ac:dyDescent="0.2">
      <c r="A90" s="61"/>
      <c r="B90" s="62"/>
      <c r="C90" s="62"/>
      <c r="D90" s="362" t="s">
        <v>415</v>
      </c>
      <c r="E90" s="362"/>
      <c r="F90" s="362"/>
      <c r="G90" s="362"/>
      <c r="H90" s="362"/>
      <c r="I90" s="362"/>
      <c r="J90" s="65"/>
      <c r="K90" s="65"/>
      <c r="L90" s="65"/>
      <c r="N90" s="243"/>
      <c r="O90" s="244"/>
      <c r="P90" s="244">
        <f>U92-1</f>
        <v>13</v>
      </c>
      <c r="Q90" s="244"/>
      <c r="R90" s="245"/>
      <c r="S90" s="252"/>
      <c r="T90" s="347" t="s">
        <v>487</v>
      </c>
      <c r="U90" s="347" t="s">
        <v>489</v>
      </c>
      <c r="V90" s="347" t="s">
        <v>488</v>
      </c>
      <c r="W90" s="348"/>
    </row>
    <row r="91" spans="1:23" s="162" customFormat="1" x14ac:dyDescent="0.2">
      <c r="A91" s="61"/>
      <c r="B91" s="62"/>
      <c r="C91" s="62"/>
      <c r="D91" s="350" t="s">
        <v>44</v>
      </c>
      <c r="E91" s="350"/>
      <c r="F91" s="350"/>
      <c r="G91" s="350"/>
      <c r="H91" s="158">
        <v>0.7</v>
      </c>
      <c r="I91" s="73" t="s">
        <v>7</v>
      </c>
      <c r="J91" s="65"/>
      <c r="K91" s="65"/>
      <c r="L91" s="65"/>
      <c r="N91" s="246"/>
      <c r="O91" s="247"/>
      <c r="P91" s="344" t="s">
        <v>188</v>
      </c>
      <c r="Q91" s="247"/>
      <c r="R91" s="248"/>
      <c r="S91" s="252"/>
      <c r="T91" s="347">
        <v>32.299999999999997</v>
      </c>
      <c r="U91" s="347">
        <v>11</v>
      </c>
      <c r="V91" s="349">
        <f>T91/U91</f>
        <v>2.9363636363636361</v>
      </c>
      <c r="W91" s="348" t="s">
        <v>7</v>
      </c>
    </row>
    <row r="92" spans="1:23" s="162" customFormat="1" x14ac:dyDescent="0.2">
      <c r="A92" s="61"/>
      <c r="B92" s="62"/>
      <c r="C92" s="62"/>
      <c r="D92" s="376" t="s">
        <v>45</v>
      </c>
      <c r="E92" s="376"/>
      <c r="F92" s="376"/>
      <c r="G92" s="376"/>
      <c r="H92" s="158">
        <v>0.7</v>
      </c>
      <c r="I92" s="73" t="s">
        <v>7</v>
      </c>
      <c r="J92" s="65"/>
      <c r="K92" s="65"/>
      <c r="L92" s="65"/>
      <c r="N92" s="246">
        <f>U91-1</f>
        <v>10</v>
      </c>
      <c r="O92" s="343" t="s">
        <v>188</v>
      </c>
      <c r="P92" s="247"/>
      <c r="Q92" s="346" t="s">
        <v>188</v>
      </c>
      <c r="R92" s="248">
        <f>N92</f>
        <v>10</v>
      </c>
      <c r="S92" s="252"/>
      <c r="T92" s="347">
        <v>41.3</v>
      </c>
      <c r="U92" s="347">
        <v>14</v>
      </c>
      <c r="V92" s="349">
        <f>T92/U92</f>
        <v>2.9499999999999997</v>
      </c>
      <c r="W92" s="348" t="s">
        <v>7</v>
      </c>
    </row>
    <row r="93" spans="1:23" s="162" customFormat="1" x14ac:dyDescent="0.2">
      <c r="A93" s="61"/>
      <c r="B93" s="62"/>
      <c r="C93" s="62"/>
      <c r="D93" s="350" t="s">
        <v>46</v>
      </c>
      <c r="E93" s="350"/>
      <c r="F93" s="350"/>
      <c r="G93" s="350"/>
      <c r="H93" s="158">
        <v>0.7</v>
      </c>
      <c r="I93" s="73" t="s">
        <v>7</v>
      </c>
      <c r="J93" s="65"/>
      <c r="K93" s="65"/>
      <c r="L93" s="65"/>
      <c r="N93" s="246"/>
      <c r="O93" s="247"/>
      <c r="P93" s="345" t="s">
        <v>188</v>
      </c>
      <c r="Q93" s="247"/>
      <c r="R93" s="248"/>
      <c r="S93" s="252"/>
    </row>
    <row r="94" spans="1:23" s="162" customFormat="1" x14ac:dyDescent="0.2">
      <c r="A94" s="61"/>
      <c r="B94" s="62"/>
      <c r="C94" s="62"/>
      <c r="D94" s="351" t="s">
        <v>47</v>
      </c>
      <c r="E94" s="351"/>
      <c r="F94" s="351"/>
      <c r="G94" s="351"/>
      <c r="H94" s="157">
        <f>M89+P90+S89+N92+R92+P94+M95+S95</f>
        <v>50</v>
      </c>
      <c r="I94" s="66" t="s">
        <v>48</v>
      </c>
      <c r="J94" s="65"/>
      <c r="K94" s="65"/>
      <c r="L94" s="65"/>
      <c r="N94" s="249"/>
      <c r="O94" s="250"/>
      <c r="P94" s="250">
        <f>P90</f>
        <v>13</v>
      </c>
      <c r="Q94" s="250"/>
      <c r="R94" s="251"/>
      <c r="S94" s="252"/>
    </row>
    <row r="95" spans="1:23" s="162" customFormat="1" x14ac:dyDescent="0.2">
      <c r="A95" s="61"/>
      <c r="B95" s="62"/>
      <c r="C95" s="62"/>
      <c r="D95" s="352" t="s">
        <v>41</v>
      </c>
      <c r="E95" s="352"/>
      <c r="F95" s="352"/>
      <c r="G95" s="352"/>
      <c r="H95" s="155">
        <f>H91*H92*H93*H94</f>
        <v>17.149999999999995</v>
      </c>
      <c r="I95" s="67" t="s">
        <v>6</v>
      </c>
      <c r="J95" s="65"/>
      <c r="K95" s="65"/>
      <c r="L95" s="65"/>
      <c r="M95" s="255">
        <v>1</v>
      </c>
      <c r="S95" s="253">
        <v>1</v>
      </c>
    </row>
    <row r="96" spans="1:23" s="162" customFormat="1" x14ac:dyDescent="0.2">
      <c r="A96" s="61"/>
      <c r="B96" s="62"/>
      <c r="C96" s="62"/>
      <c r="D96" s="155"/>
      <c r="E96" s="155"/>
      <c r="F96" s="155"/>
      <c r="G96" s="155"/>
      <c r="H96" s="155"/>
      <c r="I96" s="67"/>
      <c r="J96" s="65"/>
      <c r="K96" s="65"/>
      <c r="L96" s="65"/>
    </row>
    <row r="97" spans="1:20" s="54" customFormat="1" ht="12.75" customHeight="1" x14ac:dyDescent="0.2">
      <c r="A97" s="71" t="s">
        <v>124</v>
      </c>
      <c r="B97" s="359" t="s">
        <v>293</v>
      </c>
      <c r="C97" s="360"/>
      <c r="D97" s="360"/>
      <c r="E97" s="360"/>
      <c r="F97" s="360"/>
      <c r="G97" s="360"/>
      <c r="H97" s="360"/>
      <c r="I97" s="360"/>
      <c r="J97" s="360"/>
      <c r="K97" s="361"/>
      <c r="L97" s="72" t="s">
        <v>59</v>
      </c>
      <c r="N97" s="162"/>
      <c r="O97" s="162"/>
      <c r="P97" s="162"/>
      <c r="Q97" s="162"/>
      <c r="R97" s="162"/>
      <c r="S97" s="162"/>
      <c r="T97" s="162"/>
    </row>
    <row r="98" spans="1:20" s="162" customFormat="1" x14ac:dyDescent="0.2">
      <c r="A98" s="61"/>
      <c r="B98" s="62"/>
      <c r="C98" s="62"/>
      <c r="D98" s="62"/>
      <c r="E98" s="62"/>
      <c r="F98" s="62"/>
      <c r="G98" s="63"/>
      <c r="H98" s="64"/>
      <c r="I98" s="65"/>
      <c r="J98" s="65"/>
      <c r="K98" s="65"/>
      <c r="L98" s="65"/>
      <c r="M98" s="163"/>
    </row>
    <row r="99" spans="1:20" s="162" customFormat="1" x14ac:dyDescent="0.2">
      <c r="A99" s="61"/>
      <c r="B99" s="62"/>
      <c r="C99" s="62"/>
      <c r="D99" s="362" t="s">
        <v>320</v>
      </c>
      <c r="E99" s="362"/>
      <c r="F99" s="362"/>
      <c r="G99" s="362"/>
      <c r="H99" s="362"/>
      <c r="I99" s="362"/>
      <c r="J99" s="65"/>
      <c r="K99" s="65"/>
      <c r="L99" s="65"/>
      <c r="M99" s="163"/>
    </row>
    <row r="100" spans="1:20" s="162" customFormat="1" x14ac:dyDescent="0.2">
      <c r="A100" s="61"/>
      <c r="B100" s="62"/>
      <c r="C100" s="62"/>
      <c r="D100" s="350" t="s">
        <v>322</v>
      </c>
      <c r="E100" s="350"/>
      <c r="F100" s="350"/>
      <c r="G100" s="350"/>
      <c r="H100" s="158">
        <f>H44</f>
        <v>32.4</v>
      </c>
      <c r="I100" s="73" t="s">
        <v>7</v>
      </c>
      <c r="J100" s="65"/>
      <c r="K100" s="65"/>
      <c r="L100" s="65"/>
      <c r="M100" s="163"/>
    </row>
    <row r="101" spans="1:20" s="162" customFormat="1" x14ac:dyDescent="0.2">
      <c r="A101" s="61"/>
      <c r="B101" s="62"/>
      <c r="C101" s="62"/>
      <c r="D101" s="350" t="s">
        <v>323</v>
      </c>
      <c r="E101" s="350"/>
      <c r="F101" s="350"/>
      <c r="G101" s="350"/>
      <c r="H101" s="158">
        <f>H45</f>
        <v>41.4</v>
      </c>
      <c r="I101" s="73" t="s">
        <v>7</v>
      </c>
      <c r="J101" s="65"/>
      <c r="K101" s="65"/>
      <c r="L101" s="65"/>
      <c r="M101" s="163"/>
    </row>
    <row r="102" spans="1:20" s="162" customFormat="1" x14ac:dyDescent="0.2">
      <c r="A102" s="61"/>
      <c r="B102" s="62"/>
      <c r="C102" s="62"/>
      <c r="D102" s="350" t="s">
        <v>324</v>
      </c>
      <c r="E102" s="350"/>
      <c r="F102" s="350"/>
      <c r="G102" s="350"/>
      <c r="H102" s="158">
        <v>0.45</v>
      </c>
      <c r="I102" s="73" t="s">
        <v>7</v>
      </c>
      <c r="J102" s="65"/>
      <c r="K102" s="65"/>
      <c r="L102" s="65"/>
      <c r="M102" s="163"/>
    </row>
    <row r="103" spans="1:20" s="162" customFormat="1" x14ac:dyDescent="0.2">
      <c r="A103" s="61"/>
      <c r="B103" s="62"/>
      <c r="C103" s="62"/>
      <c r="D103" s="351" t="s">
        <v>46</v>
      </c>
      <c r="E103" s="351"/>
      <c r="F103" s="351"/>
      <c r="G103" s="351"/>
      <c r="H103" s="157">
        <v>0.45</v>
      </c>
      <c r="I103" s="66" t="s">
        <v>7</v>
      </c>
      <c r="J103" s="65"/>
      <c r="K103" s="65"/>
      <c r="L103" s="65"/>
      <c r="M103" s="164"/>
      <c r="Q103" s="162">
        <v>2.94</v>
      </c>
    </row>
    <row r="104" spans="1:20" s="162" customFormat="1" x14ac:dyDescent="0.2">
      <c r="A104" s="61"/>
      <c r="B104" s="62"/>
      <c r="C104" s="62"/>
      <c r="D104" s="356" t="s">
        <v>41</v>
      </c>
      <c r="E104" s="356"/>
      <c r="F104" s="356"/>
      <c r="G104" s="356"/>
      <c r="H104" s="155">
        <f>(H100+H101)*2*H102*H103</f>
        <v>29.889000000000003</v>
      </c>
      <c r="I104" s="67" t="s">
        <v>6</v>
      </c>
      <c r="J104" s="65"/>
      <c r="K104" s="65"/>
      <c r="L104" s="65"/>
      <c r="M104" s="163"/>
      <c r="Q104" s="162">
        <v>11</v>
      </c>
    </row>
    <row r="105" spans="1:20" s="162" customFormat="1" x14ac:dyDescent="0.2">
      <c r="A105" s="61"/>
      <c r="B105" s="62"/>
      <c r="C105" s="62"/>
      <c r="D105" s="155"/>
      <c r="E105" s="155"/>
      <c r="F105" s="155"/>
      <c r="G105" s="155"/>
      <c r="H105" s="155"/>
      <c r="I105" s="67"/>
      <c r="J105" s="65"/>
      <c r="K105" s="65"/>
      <c r="L105" s="65"/>
      <c r="M105" s="163"/>
      <c r="Q105" s="162">
        <f>Q103*Q104</f>
        <v>32.339999999999996</v>
      </c>
    </row>
    <row r="106" spans="1:20" s="162" customFormat="1" x14ac:dyDescent="0.2">
      <c r="A106" s="61"/>
      <c r="B106" s="62"/>
      <c r="C106" s="62"/>
      <c r="D106" s="362" t="s">
        <v>325</v>
      </c>
      <c r="E106" s="362"/>
      <c r="F106" s="362"/>
      <c r="G106" s="362"/>
      <c r="H106" s="362"/>
      <c r="I106" s="362"/>
      <c r="J106" s="65"/>
      <c r="K106" s="65"/>
      <c r="L106" s="65"/>
      <c r="M106" s="163"/>
    </row>
    <row r="107" spans="1:20" s="162" customFormat="1" x14ac:dyDescent="0.2">
      <c r="A107" s="61"/>
      <c r="B107" s="62"/>
      <c r="C107" s="62"/>
      <c r="D107" s="350" t="str">
        <f>D91</f>
        <v>Comprimento =</v>
      </c>
      <c r="E107" s="350"/>
      <c r="F107" s="350"/>
      <c r="G107" s="350"/>
      <c r="H107" s="158">
        <f>H91</f>
        <v>0.7</v>
      </c>
      <c r="I107" s="73" t="s">
        <v>7</v>
      </c>
      <c r="J107" s="65"/>
      <c r="K107" s="65"/>
      <c r="L107" s="65"/>
      <c r="M107" s="163"/>
    </row>
    <row r="108" spans="1:20" s="162" customFormat="1" x14ac:dyDescent="0.2">
      <c r="A108" s="61"/>
      <c r="B108" s="62"/>
      <c r="C108" s="62"/>
      <c r="D108" s="350" t="str">
        <f>D92</f>
        <v>Largura =</v>
      </c>
      <c r="E108" s="350"/>
      <c r="F108" s="350"/>
      <c r="G108" s="350"/>
      <c r="H108" s="158">
        <f>H102</f>
        <v>0.45</v>
      </c>
      <c r="I108" s="73" t="s">
        <v>7</v>
      </c>
      <c r="J108" s="65"/>
      <c r="K108" s="65"/>
      <c r="L108" s="65"/>
      <c r="M108" s="163"/>
    </row>
    <row r="109" spans="1:20" s="162" customFormat="1" x14ac:dyDescent="0.2">
      <c r="A109" s="61"/>
      <c r="B109" s="62"/>
      <c r="C109" s="62"/>
      <c r="D109" s="350" t="str">
        <f>D93</f>
        <v>Profundidade =</v>
      </c>
      <c r="E109" s="350"/>
      <c r="F109" s="350"/>
      <c r="G109" s="350"/>
      <c r="H109" s="158">
        <f>H103</f>
        <v>0.45</v>
      </c>
      <c r="I109" s="73" t="s">
        <v>7</v>
      </c>
      <c r="J109" s="65"/>
      <c r="K109" s="65"/>
      <c r="L109" s="65"/>
      <c r="M109" s="163"/>
    </row>
    <row r="110" spans="1:20" s="162" customFormat="1" x14ac:dyDescent="0.2">
      <c r="A110" s="61"/>
      <c r="B110" s="62"/>
      <c r="C110" s="62"/>
      <c r="D110" s="351" t="str">
        <f>D94</f>
        <v>Quatidade =</v>
      </c>
      <c r="E110" s="351"/>
      <c r="F110" s="351"/>
      <c r="G110" s="351"/>
      <c r="H110" s="157">
        <f>H94</f>
        <v>50</v>
      </c>
      <c r="I110" s="66" t="s">
        <v>48</v>
      </c>
      <c r="J110" s="65"/>
      <c r="K110" s="65"/>
      <c r="L110" s="65"/>
      <c r="M110" s="163"/>
    </row>
    <row r="111" spans="1:20" s="162" customFormat="1" x14ac:dyDescent="0.2">
      <c r="A111" s="61"/>
      <c r="B111" s="62"/>
      <c r="C111" s="62"/>
      <c r="D111" s="356" t="s">
        <v>41</v>
      </c>
      <c r="E111" s="356"/>
      <c r="F111" s="356"/>
      <c r="G111" s="356"/>
      <c r="H111" s="155">
        <f>H107*H108*H109*H110</f>
        <v>7.0875000000000004</v>
      </c>
      <c r="I111" s="67" t="s">
        <v>6</v>
      </c>
      <c r="J111" s="65"/>
      <c r="K111" s="65"/>
      <c r="L111" s="65"/>
      <c r="M111" s="163"/>
    </row>
    <row r="112" spans="1:20" s="162" customFormat="1" x14ac:dyDescent="0.2">
      <c r="A112" s="61"/>
      <c r="B112" s="62"/>
      <c r="C112" s="62"/>
      <c r="D112" s="155"/>
      <c r="E112" s="155"/>
      <c r="F112" s="155"/>
      <c r="G112" s="155"/>
      <c r="H112" s="155"/>
      <c r="I112" s="67"/>
      <c r="J112" s="65"/>
      <c r="K112" s="65"/>
      <c r="L112" s="65"/>
      <c r="M112" s="163"/>
    </row>
    <row r="113" spans="1:13" s="162" customFormat="1" x14ac:dyDescent="0.2">
      <c r="A113" s="61"/>
      <c r="B113" s="62"/>
      <c r="C113" s="62"/>
      <c r="D113" s="356" t="s">
        <v>321</v>
      </c>
      <c r="E113" s="356"/>
      <c r="F113" s="356"/>
      <c r="G113" s="356"/>
      <c r="H113" s="155">
        <f>H104-H111</f>
        <v>22.801500000000004</v>
      </c>
      <c r="I113" s="67" t="s">
        <v>5</v>
      </c>
      <c r="J113" s="65"/>
      <c r="K113" s="65"/>
      <c r="L113" s="65"/>
      <c r="M113" s="163"/>
    </row>
    <row r="114" spans="1:13" s="54" customFormat="1" x14ac:dyDescent="0.2">
      <c r="A114" s="61"/>
      <c r="B114" s="62"/>
      <c r="C114" s="62"/>
      <c r="D114" s="52"/>
      <c r="E114" s="52"/>
      <c r="F114" s="52"/>
      <c r="G114" s="52"/>
      <c r="H114" s="52"/>
      <c r="I114" s="67"/>
      <c r="J114" s="65"/>
      <c r="K114" s="65"/>
      <c r="L114" s="65"/>
    </row>
    <row r="115" spans="1:13" s="162" customFormat="1" x14ac:dyDescent="0.2">
      <c r="A115" s="69" t="s">
        <v>126</v>
      </c>
      <c r="B115" s="378" t="s">
        <v>294</v>
      </c>
      <c r="C115" s="379"/>
      <c r="D115" s="379"/>
      <c r="E115" s="379"/>
      <c r="F115" s="379"/>
      <c r="G115" s="379"/>
      <c r="H115" s="379"/>
      <c r="I115" s="379"/>
      <c r="J115" s="379"/>
      <c r="K115" s="380"/>
      <c r="L115" s="70" t="s">
        <v>61</v>
      </c>
    </row>
    <row r="116" spans="1:13" s="162" customFormat="1" x14ac:dyDescent="0.2">
      <c r="A116" s="61"/>
      <c r="B116" s="62"/>
      <c r="C116" s="62"/>
      <c r="D116" s="62"/>
      <c r="E116" s="62"/>
      <c r="F116" s="62"/>
      <c r="G116" s="63"/>
      <c r="H116" s="64"/>
      <c r="I116" s="65"/>
      <c r="J116" s="65"/>
      <c r="K116" s="65"/>
      <c r="L116" s="65"/>
    </row>
    <row r="117" spans="1:13" s="162" customFormat="1" x14ac:dyDescent="0.2">
      <c r="A117" s="61"/>
      <c r="B117" s="62"/>
      <c r="C117" s="62"/>
      <c r="D117" s="362" t="str">
        <f>D90</f>
        <v>Bloco de Fundação (0,70 x 0,70 x 0,70) - Mureta da quadra</v>
      </c>
      <c r="E117" s="362"/>
      <c r="F117" s="362"/>
      <c r="G117" s="362"/>
      <c r="H117" s="362"/>
      <c r="I117" s="362"/>
      <c r="J117" s="65"/>
      <c r="K117" s="65"/>
      <c r="L117" s="65"/>
    </row>
    <row r="118" spans="1:13" s="162" customFormat="1" x14ac:dyDescent="0.2">
      <c r="A118" s="61"/>
      <c r="B118" s="62"/>
      <c r="C118" s="62"/>
      <c r="D118" s="350" t="s">
        <v>44</v>
      </c>
      <c r="E118" s="350"/>
      <c r="F118" s="350"/>
      <c r="G118" s="350"/>
      <c r="H118" s="158">
        <f>H91</f>
        <v>0.7</v>
      </c>
      <c r="I118" s="73" t="s">
        <v>7</v>
      </c>
      <c r="J118" s="65"/>
      <c r="K118" s="65"/>
      <c r="L118" s="65"/>
    </row>
    <row r="119" spans="1:13" s="162" customFormat="1" x14ac:dyDescent="0.2">
      <c r="A119" s="61"/>
      <c r="B119" s="62"/>
      <c r="C119" s="62"/>
      <c r="D119" s="376" t="s">
        <v>45</v>
      </c>
      <c r="E119" s="376"/>
      <c r="F119" s="376"/>
      <c r="G119" s="376"/>
      <c r="H119" s="158">
        <f>H92</f>
        <v>0.7</v>
      </c>
      <c r="I119" s="73" t="s">
        <v>7</v>
      </c>
      <c r="J119" s="65"/>
      <c r="K119" s="65"/>
      <c r="L119" s="65"/>
    </row>
    <row r="120" spans="1:13" s="162" customFormat="1" x14ac:dyDescent="0.2">
      <c r="A120" s="61"/>
      <c r="B120" s="62"/>
      <c r="C120" s="62"/>
      <c r="D120" s="351" t="s">
        <v>47</v>
      </c>
      <c r="E120" s="351"/>
      <c r="F120" s="351"/>
      <c r="G120" s="351"/>
      <c r="H120" s="157">
        <f>H94</f>
        <v>50</v>
      </c>
      <c r="I120" s="66" t="s">
        <v>48</v>
      </c>
      <c r="J120" s="65"/>
      <c r="K120" s="65"/>
      <c r="L120" s="65"/>
    </row>
    <row r="121" spans="1:13" s="162" customFormat="1" x14ac:dyDescent="0.2">
      <c r="A121" s="61"/>
      <c r="B121" s="62"/>
      <c r="C121" s="62"/>
      <c r="D121" s="352" t="s">
        <v>41</v>
      </c>
      <c r="E121" s="352"/>
      <c r="F121" s="352"/>
      <c r="G121" s="352"/>
      <c r="H121" s="155">
        <f>H118*H119*H120</f>
        <v>24.499999999999996</v>
      </c>
      <c r="I121" s="67" t="s">
        <v>5</v>
      </c>
      <c r="J121" s="65"/>
      <c r="K121" s="65"/>
      <c r="L121" s="65"/>
    </row>
    <row r="122" spans="1:13" s="162" customFormat="1" x14ac:dyDescent="0.2">
      <c r="A122" s="61"/>
      <c r="B122" s="62"/>
      <c r="C122" s="62"/>
      <c r="D122" s="62"/>
      <c r="E122" s="62"/>
      <c r="F122" s="62"/>
      <c r="G122" s="63"/>
      <c r="H122" s="64"/>
      <c r="I122" s="65"/>
      <c r="J122" s="65"/>
      <c r="K122" s="65"/>
      <c r="L122" s="65"/>
    </row>
    <row r="123" spans="1:13" s="162" customFormat="1" x14ac:dyDescent="0.2">
      <c r="A123" s="61"/>
      <c r="B123" s="62"/>
      <c r="C123" s="62"/>
      <c r="D123" s="362" t="s">
        <v>320</v>
      </c>
      <c r="E123" s="362"/>
      <c r="F123" s="362"/>
      <c r="G123" s="362"/>
      <c r="H123" s="362"/>
      <c r="I123" s="362"/>
      <c r="J123" s="65"/>
      <c r="K123" s="65"/>
      <c r="L123" s="65"/>
    </row>
    <row r="124" spans="1:13" s="162" customFormat="1" x14ac:dyDescent="0.2">
      <c r="A124" s="61"/>
      <c r="B124" s="62"/>
      <c r="C124" s="62"/>
      <c r="D124" s="350" t="s">
        <v>322</v>
      </c>
      <c r="E124" s="350"/>
      <c r="F124" s="350"/>
      <c r="G124" s="350"/>
      <c r="H124" s="158">
        <f>H100</f>
        <v>32.4</v>
      </c>
      <c r="I124" s="73" t="s">
        <v>7</v>
      </c>
      <c r="J124" s="65"/>
      <c r="K124" s="65"/>
      <c r="L124" s="65"/>
    </row>
    <row r="125" spans="1:13" s="162" customFormat="1" x14ac:dyDescent="0.2">
      <c r="A125" s="61"/>
      <c r="B125" s="62"/>
      <c r="C125" s="62"/>
      <c r="D125" s="350" t="s">
        <v>323</v>
      </c>
      <c r="E125" s="350"/>
      <c r="F125" s="350"/>
      <c r="G125" s="350"/>
      <c r="H125" s="158">
        <f>H101</f>
        <v>41.4</v>
      </c>
      <c r="I125" s="73" t="s">
        <v>7</v>
      </c>
      <c r="J125" s="65"/>
      <c r="K125" s="65"/>
      <c r="L125" s="65"/>
    </row>
    <row r="126" spans="1:13" s="162" customFormat="1" x14ac:dyDescent="0.2">
      <c r="A126" s="61"/>
      <c r="B126" s="62"/>
      <c r="C126" s="62"/>
      <c r="D126" s="377" t="s">
        <v>45</v>
      </c>
      <c r="E126" s="377"/>
      <c r="F126" s="377"/>
      <c r="G126" s="377"/>
      <c r="H126" s="157">
        <f>H102</f>
        <v>0.45</v>
      </c>
      <c r="I126" s="66" t="s">
        <v>7</v>
      </c>
      <c r="J126" s="65"/>
      <c r="K126" s="65"/>
      <c r="L126" s="65"/>
    </row>
    <row r="127" spans="1:13" s="162" customFormat="1" x14ac:dyDescent="0.2">
      <c r="A127" s="61"/>
      <c r="B127" s="62"/>
      <c r="C127" s="62"/>
      <c r="D127" s="374" t="s">
        <v>41</v>
      </c>
      <c r="E127" s="374"/>
      <c r="F127" s="374"/>
      <c r="G127" s="374"/>
      <c r="H127" s="155">
        <f>(H124+H125)*2*H126</f>
        <v>66.42</v>
      </c>
      <c r="I127" s="67" t="s">
        <v>5</v>
      </c>
      <c r="J127" s="65"/>
      <c r="K127" s="65"/>
      <c r="L127" s="65"/>
    </row>
    <row r="128" spans="1:13" s="162" customFormat="1" x14ac:dyDescent="0.2">
      <c r="A128" s="61"/>
      <c r="B128" s="62"/>
      <c r="C128" s="62"/>
      <c r="D128" s="62"/>
      <c r="E128" s="62"/>
      <c r="F128" s="62"/>
      <c r="G128" s="63"/>
      <c r="H128" s="64"/>
      <c r="I128" s="65"/>
      <c r="J128" s="65"/>
      <c r="K128" s="65"/>
      <c r="L128" s="65"/>
    </row>
    <row r="129" spans="1:12" s="162" customFormat="1" x14ac:dyDescent="0.2">
      <c r="A129" s="61"/>
      <c r="B129" s="62"/>
      <c r="C129" s="62"/>
      <c r="D129" s="362" t="s">
        <v>326</v>
      </c>
      <c r="E129" s="362"/>
      <c r="F129" s="362"/>
      <c r="G129" s="362"/>
      <c r="H129" s="362"/>
      <c r="I129" s="362"/>
      <c r="J129" s="65"/>
      <c r="K129" s="65"/>
      <c r="L129" s="65"/>
    </row>
    <row r="130" spans="1:12" s="162" customFormat="1" x14ac:dyDescent="0.2">
      <c r="A130" s="61"/>
      <c r="B130" s="62"/>
      <c r="C130" s="62"/>
      <c r="D130" s="350" t="s">
        <v>44</v>
      </c>
      <c r="E130" s="350"/>
      <c r="F130" s="350"/>
      <c r="G130" s="350"/>
      <c r="H130" s="158">
        <f>H118</f>
        <v>0.7</v>
      </c>
      <c r="I130" s="73" t="s">
        <v>7</v>
      </c>
      <c r="J130" s="65"/>
      <c r="K130" s="65"/>
      <c r="L130" s="65"/>
    </row>
    <row r="131" spans="1:12" s="162" customFormat="1" x14ac:dyDescent="0.2">
      <c r="A131" s="61"/>
      <c r="B131" s="62"/>
      <c r="C131" s="62"/>
      <c r="D131" s="376" t="s">
        <v>45</v>
      </c>
      <c r="E131" s="376"/>
      <c r="F131" s="376"/>
      <c r="G131" s="376"/>
      <c r="H131" s="158">
        <f>H126</f>
        <v>0.45</v>
      </c>
      <c r="I131" s="73" t="s">
        <v>7</v>
      </c>
      <c r="J131" s="65"/>
      <c r="K131" s="65"/>
      <c r="L131" s="65"/>
    </row>
    <row r="132" spans="1:12" s="162" customFormat="1" x14ac:dyDescent="0.2">
      <c r="A132" s="61"/>
      <c r="B132" s="62"/>
      <c r="C132" s="62"/>
      <c r="D132" s="351" t="s">
        <v>47</v>
      </c>
      <c r="E132" s="351"/>
      <c r="F132" s="351"/>
      <c r="G132" s="351"/>
      <c r="H132" s="157">
        <f>H120</f>
        <v>50</v>
      </c>
      <c r="I132" s="66" t="s">
        <v>48</v>
      </c>
      <c r="J132" s="65"/>
      <c r="K132" s="65"/>
      <c r="L132" s="65"/>
    </row>
    <row r="133" spans="1:12" s="162" customFormat="1" x14ac:dyDescent="0.2">
      <c r="A133" s="61"/>
      <c r="B133" s="62"/>
      <c r="C133" s="62"/>
      <c r="D133" s="352" t="s">
        <v>41</v>
      </c>
      <c r="E133" s="352"/>
      <c r="F133" s="352"/>
      <c r="G133" s="352"/>
      <c r="H133" s="155">
        <f>H130*H131*H132</f>
        <v>15.75</v>
      </c>
      <c r="I133" s="67" t="s">
        <v>5</v>
      </c>
      <c r="J133" s="65"/>
      <c r="K133" s="65"/>
      <c r="L133" s="65"/>
    </row>
    <row r="134" spans="1:12" s="162" customFormat="1" x14ac:dyDescent="0.2">
      <c r="A134" s="61"/>
      <c r="B134" s="62"/>
      <c r="C134" s="62"/>
      <c r="D134" s="155"/>
      <c r="E134" s="155"/>
      <c r="F134" s="155"/>
      <c r="G134" s="155"/>
      <c r="H134" s="155"/>
      <c r="I134" s="67"/>
      <c r="J134" s="65"/>
      <c r="K134" s="65"/>
      <c r="L134" s="65"/>
    </row>
    <row r="135" spans="1:12" s="162" customFormat="1" x14ac:dyDescent="0.2">
      <c r="A135" s="61"/>
      <c r="B135" s="62"/>
      <c r="C135" s="62"/>
      <c r="D135" s="356" t="s">
        <v>295</v>
      </c>
      <c r="E135" s="356"/>
      <c r="F135" s="356"/>
      <c r="G135" s="356"/>
      <c r="H135" s="155">
        <f>H121+H127-H133</f>
        <v>75.17</v>
      </c>
      <c r="I135" s="67" t="s">
        <v>5</v>
      </c>
      <c r="J135" s="65"/>
      <c r="K135" s="65"/>
      <c r="L135" s="65"/>
    </row>
    <row r="136" spans="1:12" s="162" customFormat="1" x14ac:dyDescent="0.2">
      <c r="A136" s="61"/>
      <c r="B136" s="62"/>
      <c r="C136" s="62"/>
      <c r="D136" s="155"/>
      <c r="E136" s="155"/>
      <c r="F136" s="155"/>
      <c r="G136" s="155"/>
      <c r="H136" s="155"/>
      <c r="I136" s="67"/>
      <c r="J136" s="65"/>
      <c r="K136" s="65"/>
      <c r="L136" s="65"/>
    </row>
    <row r="137" spans="1:12" s="54" customFormat="1" ht="12.75" customHeight="1" x14ac:dyDescent="0.2">
      <c r="A137" s="71" t="s">
        <v>127</v>
      </c>
      <c r="B137" s="359" t="s">
        <v>296</v>
      </c>
      <c r="C137" s="360"/>
      <c r="D137" s="360"/>
      <c r="E137" s="360"/>
      <c r="F137" s="360"/>
      <c r="G137" s="360"/>
      <c r="H137" s="360"/>
      <c r="I137" s="360"/>
      <c r="J137" s="360"/>
      <c r="K137" s="361"/>
      <c r="L137" s="72" t="s">
        <v>59</v>
      </c>
    </row>
    <row r="138" spans="1:12" s="162" customFormat="1" x14ac:dyDescent="0.2">
      <c r="A138" s="61"/>
      <c r="B138" s="62"/>
      <c r="C138" s="62"/>
      <c r="D138" s="62"/>
      <c r="E138" s="62"/>
      <c r="F138" s="62"/>
      <c r="G138" s="63"/>
      <c r="H138" s="64"/>
      <c r="I138" s="65"/>
      <c r="J138" s="65"/>
      <c r="K138" s="65"/>
      <c r="L138" s="65"/>
    </row>
    <row r="139" spans="1:12" s="162" customFormat="1" x14ac:dyDescent="0.2">
      <c r="A139" s="61"/>
      <c r="B139" s="62"/>
      <c r="C139" s="62"/>
      <c r="D139" s="362" t="s">
        <v>330</v>
      </c>
      <c r="E139" s="362"/>
      <c r="F139" s="362"/>
      <c r="G139" s="362"/>
      <c r="H139" s="362"/>
      <c r="I139" s="362"/>
      <c r="J139" s="65"/>
      <c r="K139" s="65"/>
      <c r="L139" s="65"/>
    </row>
    <row r="140" spans="1:12" s="162" customFormat="1" x14ac:dyDescent="0.2">
      <c r="A140" s="61"/>
      <c r="B140" s="62"/>
      <c r="C140" s="62"/>
      <c r="D140" s="350" t="s">
        <v>416</v>
      </c>
      <c r="E140" s="350"/>
      <c r="F140" s="350"/>
      <c r="G140" s="350"/>
      <c r="H140" s="158">
        <f>H95</f>
        <v>17.149999999999995</v>
      </c>
      <c r="I140" s="73" t="s">
        <v>6</v>
      </c>
      <c r="J140" s="65"/>
      <c r="K140" s="65"/>
      <c r="L140" s="65"/>
    </row>
    <row r="141" spans="1:12" s="162" customFormat="1" x14ac:dyDescent="0.2">
      <c r="A141" s="61"/>
      <c r="B141" s="62"/>
      <c r="C141" s="62"/>
      <c r="D141" s="376" t="s">
        <v>329</v>
      </c>
      <c r="E141" s="376"/>
      <c r="F141" s="376"/>
      <c r="G141" s="376"/>
      <c r="H141" s="157">
        <f>H113</f>
        <v>22.801500000000004</v>
      </c>
      <c r="I141" s="66" t="s">
        <v>6</v>
      </c>
      <c r="J141" s="65"/>
      <c r="K141" s="65"/>
      <c r="L141" s="65"/>
    </row>
    <row r="142" spans="1:12" s="162" customFormat="1" x14ac:dyDescent="0.2">
      <c r="A142" s="61"/>
      <c r="B142" s="62"/>
      <c r="C142" s="62"/>
      <c r="D142" s="352" t="s">
        <v>41</v>
      </c>
      <c r="E142" s="352"/>
      <c r="F142" s="352"/>
      <c r="G142" s="352"/>
      <c r="H142" s="155">
        <f>H140+H141</f>
        <v>39.951499999999996</v>
      </c>
      <c r="I142" s="67" t="s">
        <v>6</v>
      </c>
      <c r="J142" s="65"/>
      <c r="K142" s="65"/>
      <c r="L142" s="65"/>
    </row>
    <row r="143" spans="1:12" s="162" customFormat="1" x14ac:dyDescent="0.2">
      <c r="A143" s="61"/>
      <c r="B143" s="62"/>
      <c r="C143" s="62"/>
      <c r="D143" s="155"/>
      <c r="E143" s="155"/>
      <c r="F143" s="155"/>
      <c r="G143" s="155"/>
      <c r="H143" s="155"/>
      <c r="I143" s="67"/>
      <c r="J143" s="65"/>
      <c r="K143" s="65"/>
      <c r="L143" s="65"/>
    </row>
    <row r="144" spans="1:12" s="54" customFormat="1" ht="12.75" customHeight="1" x14ac:dyDescent="0.2">
      <c r="A144" s="71" t="s">
        <v>283</v>
      </c>
      <c r="B144" s="359" t="s">
        <v>298</v>
      </c>
      <c r="C144" s="360"/>
      <c r="D144" s="360"/>
      <c r="E144" s="360"/>
      <c r="F144" s="360"/>
      <c r="G144" s="360" t="s">
        <v>42</v>
      </c>
      <c r="H144" s="360" t="s">
        <v>10</v>
      </c>
      <c r="I144" s="360"/>
      <c r="J144" s="360"/>
      <c r="K144" s="361">
        <v>0</v>
      </c>
      <c r="L144" s="72" t="s">
        <v>59</v>
      </c>
    </row>
    <row r="145" spans="1:12" s="162" customFormat="1" x14ac:dyDescent="0.2">
      <c r="A145" s="61"/>
      <c r="B145" s="62"/>
      <c r="C145" s="62"/>
      <c r="D145" s="62"/>
      <c r="E145" s="62"/>
      <c r="F145" s="62"/>
      <c r="G145" s="63"/>
      <c r="H145" s="64"/>
      <c r="I145" s="65"/>
      <c r="J145" s="65"/>
      <c r="K145" s="65"/>
      <c r="L145" s="65"/>
    </row>
    <row r="146" spans="1:12" s="162" customFormat="1" x14ac:dyDescent="0.2">
      <c r="A146" s="61"/>
      <c r="B146" s="62"/>
      <c r="C146" s="62"/>
      <c r="D146" s="362" t="s">
        <v>331</v>
      </c>
      <c r="E146" s="362"/>
      <c r="F146" s="362"/>
      <c r="G146" s="362"/>
      <c r="H146" s="362"/>
      <c r="I146" s="362"/>
      <c r="J146" s="65"/>
      <c r="K146" s="65"/>
      <c r="L146" s="65"/>
    </row>
    <row r="147" spans="1:12" s="162" customFormat="1" x14ac:dyDescent="0.2">
      <c r="A147" s="61"/>
      <c r="B147" s="62"/>
      <c r="C147" s="62"/>
      <c r="D147" s="350" t="str">
        <f>D140</f>
        <v>Bloco de Fundação (0,70 x 0,70 x 0,70) =</v>
      </c>
      <c r="E147" s="350"/>
      <c r="F147" s="350"/>
      <c r="G147" s="350"/>
      <c r="H147" s="158">
        <f>H140</f>
        <v>17.149999999999995</v>
      </c>
      <c r="I147" s="73" t="s">
        <v>6</v>
      </c>
      <c r="J147" s="65"/>
      <c r="K147" s="65"/>
      <c r="L147" s="65"/>
    </row>
    <row r="148" spans="1:12" s="162" customFormat="1" x14ac:dyDescent="0.2">
      <c r="A148" s="61"/>
      <c r="B148" s="62"/>
      <c r="C148" s="62"/>
      <c r="D148" s="376" t="s">
        <v>329</v>
      </c>
      <c r="E148" s="376"/>
      <c r="F148" s="376"/>
      <c r="G148" s="376"/>
      <c r="H148" s="157">
        <f>H141</f>
        <v>22.801500000000004</v>
      </c>
      <c r="I148" s="66" t="s">
        <v>6</v>
      </c>
      <c r="J148" s="65"/>
      <c r="K148" s="65"/>
      <c r="L148" s="65"/>
    </row>
    <row r="149" spans="1:12" s="162" customFormat="1" x14ac:dyDescent="0.2">
      <c r="A149" s="61"/>
      <c r="B149" s="62"/>
      <c r="C149" s="62"/>
      <c r="D149" s="352" t="s">
        <v>41</v>
      </c>
      <c r="E149" s="352"/>
      <c r="F149" s="352"/>
      <c r="G149" s="352"/>
      <c r="H149" s="155">
        <f>H147+H148</f>
        <v>39.951499999999996</v>
      </c>
      <c r="I149" s="67" t="s">
        <v>6</v>
      </c>
      <c r="J149" s="65"/>
      <c r="K149" s="65"/>
      <c r="L149" s="65"/>
    </row>
    <row r="150" spans="1:12" s="162" customFormat="1" x14ac:dyDescent="0.2">
      <c r="A150" s="61"/>
      <c r="B150" s="62"/>
      <c r="C150" s="62"/>
      <c r="D150" s="155"/>
      <c r="E150" s="155"/>
      <c r="F150" s="155"/>
      <c r="G150" s="155"/>
      <c r="H150" s="155"/>
      <c r="I150" s="67"/>
      <c r="J150" s="64"/>
      <c r="K150" s="165"/>
      <c r="L150" s="65"/>
    </row>
    <row r="151" spans="1:12" s="162" customFormat="1" x14ac:dyDescent="0.2">
      <c r="A151" s="69" t="s">
        <v>284</v>
      </c>
      <c r="B151" s="378" t="s">
        <v>492</v>
      </c>
      <c r="C151" s="379"/>
      <c r="D151" s="379"/>
      <c r="E151" s="379"/>
      <c r="F151" s="379"/>
      <c r="G151" s="379" t="s">
        <v>42</v>
      </c>
      <c r="H151" s="379" t="s">
        <v>10</v>
      </c>
      <c r="I151" s="379"/>
      <c r="J151" s="379"/>
      <c r="K151" s="380">
        <v>0</v>
      </c>
      <c r="L151" s="70" t="s">
        <v>59</v>
      </c>
    </row>
    <row r="152" spans="1:12" s="162" customFormat="1" x14ac:dyDescent="0.2">
      <c r="A152" s="61"/>
      <c r="B152" s="62"/>
      <c r="C152" s="62"/>
      <c r="D152" s="62"/>
      <c r="E152" s="62"/>
      <c r="F152" s="62"/>
      <c r="G152" s="63"/>
      <c r="H152" s="64"/>
      <c r="I152" s="65"/>
      <c r="J152" s="65"/>
      <c r="K152" s="65"/>
      <c r="L152" s="65"/>
    </row>
    <row r="153" spans="1:12" s="162" customFormat="1" x14ac:dyDescent="0.2">
      <c r="A153" s="61"/>
      <c r="B153" s="62"/>
      <c r="C153" s="62"/>
      <c r="D153" s="362" t="s">
        <v>332</v>
      </c>
      <c r="E153" s="362"/>
      <c r="F153" s="362"/>
      <c r="G153" s="362"/>
      <c r="H153" s="362"/>
      <c r="I153" s="362"/>
      <c r="J153" s="65"/>
      <c r="K153" s="65"/>
      <c r="L153" s="65"/>
    </row>
    <row r="154" spans="1:12" s="162" customFormat="1" x14ac:dyDescent="0.2">
      <c r="A154" s="61"/>
      <c r="B154" s="62"/>
      <c r="C154" s="62"/>
      <c r="D154" s="350" t="s">
        <v>297</v>
      </c>
      <c r="E154" s="350"/>
      <c r="F154" s="350"/>
      <c r="G154" s="350"/>
      <c r="H154" s="158">
        <v>0.15</v>
      </c>
      <c r="I154" s="73" t="s">
        <v>7</v>
      </c>
      <c r="J154" s="65"/>
      <c r="K154" s="65"/>
      <c r="L154" s="65"/>
    </row>
    <row r="155" spans="1:12" s="162" customFormat="1" x14ac:dyDescent="0.2">
      <c r="A155" s="61"/>
      <c r="B155" s="62"/>
      <c r="C155" s="62"/>
      <c r="D155" s="350" t="s">
        <v>322</v>
      </c>
      <c r="E155" s="350"/>
      <c r="F155" s="350"/>
      <c r="G155" s="350"/>
      <c r="H155" s="158">
        <f>H42+H38+H39</f>
        <v>32</v>
      </c>
      <c r="I155" s="73" t="s">
        <v>7</v>
      </c>
      <c r="J155" s="65"/>
      <c r="K155" s="65"/>
      <c r="L155" s="65"/>
    </row>
    <row r="156" spans="1:12" s="162" customFormat="1" x14ac:dyDescent="0.2">
      <c r="A156" s="61"/>
      <c r="B156" s="62"/>
      <c r="C156" s="62"/>
      <c r="D156" s="350" t="s">
        <v>323</v>
      </c>
      <c r="E156" s="350"/>
      <c r="F156" s="350"/>
      <c r="G156" s="350"/>
      <c r="H156" s="157">
        <f>H43+H40+H41</f>
        <v>41</v>
      </c>
      <c r="I156" s="66" t="s">
        <v>7</v>
      </c>
      <c r="J156" s="65"/>
      <c r="K156" s="65"/>
      <c r="L156" s="65"/>
    </row>
    <row r="157" spans="1:12" s="162" customFormat="1" x14ac:dyDescent="0.2">
      <c r="A157" s="61"/>
      <c r="B157" s="62"/>
      <c r="C157" s="62"/>
      <c r="D157" s="352" t="s">
        <v>41</v>
      </c>
      <c r="E157" s="352"/>
      <c r="F157" s="352"/>
      <c r="G157" s="352"/>
      <c r="H157" s="155">
        <f>H154*H155*H156</f>
        <v>196.79999999999998</v>
      </c>
      <c r="I157" s="67" t="s">
        <v>6</v>
      </c>
      <c r="J157" s="65"/>
      <c r="K157" s="65"/>
      <c r="L157" s="65"/>
    </row>
    <row r="158" spans="1:12" s="162" customFormat="1" x14ac:dyDescent="0.2">
      <c r="A158" s="61"/>
      <c r="B158" s="62"/>
      <c r="C158" s="62"/>
      <c r="D158" s="166"/>
      <c r="E158" s="166"/>
      <c r="F158" s="166"/>
      <c r="G158" s="166"/>
      <c r="H158" s="155"/>
      <c r="I158" s="67"/>
      <c r="J158" s="65"/>
      <c r="K158" s="65"/>
      <c r="L158" s="65"/>
    </row>
    <row r="159" spans="1:12" s="162" customFormat="1" x14ac:dyDescent="0.2">
      <c r="A159" s="61"/>
      <c r="B159" s="62"/>
      <c r="C159" s="62"/>
      <c r="D159" s="362" t="s">
        <v>333</v>
      </c>
      <c r="E159" s="362"/>
      <c r="F159" s="362"/>
      <c r="G159" s="362"/>
      <c r="H159" s="362"/>
      <c r="I159" s="362"/>
      <c r="J159" s="65"/>
      <c r="K159" s="65"/>
      <c r="L159" s="65"/>
    </row>
    <row r="160" spans="1:12" s="162" customFormat="1" x14ac:dyDescent="0.2">
      <c r="A160" s="61"/>
      <c r="B160" s="62"/>
      <c r="C160" s="62"/>
      <c r="D160" s="350" t="s">
        <v>334</v>
      </c>
      <c r="E160" s="350"/>
      <c r="F160" s="350"/>
      <c r="G160" s="350"/>
      <c r="H160" s="157">
        <f>H149</f>
        <v>39.951499999999996</v>
      </c>
      <c r="I160" s="66" t="s">
        <v>6</v>
      </c>
      <c r="J160" s="65"/>
      <c r="K160" s="65"/>
      <c r="L160" s="65"/>
    </row>
    <row r="161" spans="1:12" s="162" customFormat="1" x14ac:dyDescent="0.2">
      <c r="A161" s="61"/>
      <c r="B161" s="62"/>
      <c r="C161" s="62"/>
      <c r="D161" s="352" t="s">
        <v>41</v>
      </c>
      <c r="E161" s="352"/>
      <c r="F161" s="352"/>
      <c r="G161" s="352"/>
      <c r="H161" s="155">
        <f>H160</f>
        <v>39.951499999999996</v>
      </c>
      <c r="I161" s="67" t="s">
        <v>6</v>
      </c>
      <c r="J161" s="65"/>
      <c r="K161" s="65"/>
      <c r="L161" s="65"/>
    </row>
    <row r="162" spans="1:12" s="162" customFormat="1" x14ac:dyDescent="0.2">
      <c r="A162" s="61"/>
      <c r="B162" s="62"/>
      <c r="C162" s="62"/>
      <c r="D162" s="166"/>
      <c r="E162" s="166"/>
      <c r="F162" s="166"/>
      <c r="G162" s="166"/>
      <c r="H162" s="155"/>
      <c r="I162" s="67"/>
      <c r="J162" s="65"/>
      <c r="K162" s="65"/>
      <c r="L162" s="65"/>
    </row>
    <row r="163" spans="1:12" s="162" customFormat="1" x14ac:dyDescent="0.2">
      <c r="A163" s="61"/>
      <c r="B163" s="62"/>
      <c r="C163" s="62"/>
      <c r="D163" s="356" t="s">
        <v>335</v>
      </c>
      <c r="E163" s="356"/>
      <c r="F163" s="356"/>
      <c r="G163" s="356"/>
      <c r="H163" s="155">
        <f>H157-H161</f>
        <v>156.8485</v>
      </c>
      <c r="I163" s="67" t="s">
        <v>6</v>
      </c>
      <c r="J163" s="65"/>
      <c r="K163" s="65"/>
      <c r="L163" s="65"/>
    </row>
    <row r="164" spans="1:12" s="162" customFormat="1" x14ac:dyDescent="0.2">
      <c r="A164" s="61"/>
      <c r="B164" s="62"/>
      <c r="C164" s="62"/>
      <c r="D164" s="155"/>
      <c r="E164" s="155"/>
      <c r="F164" s="155"/>
      <c r="G164" s="155"/>
      <c r="H164" s="155"/>
      <c r="I164" s="67"/>
      <c r="J164" s="65"/>
      <c r="K164" s="65"/>
      <c r="L164" s="65"/>
    </row>
    <row r="165" spans="1:12" s="54" customFormat="1" ht="12.75" customHeight="1" x14ac:dyDescent="0.2">
      <c r="A165" s="71" t="s">
        <v>286</v>
      </c>
      <c r="B165" s="359" t="s">
        <v>299</v>
      </c>
      <c r="C165" s="360"/>
      <c r="D165" s="360"/>
      <c r="E165" s="360"/>
      <c r="F165" s="360"/>
      <c r="G165" s="360" t="s">
        <v>42</v>
      </c>
      <c r="H165" s="360" t="s">
        <v>10</v>
      </c>
      <c r="I165" s="360"/>
      <c r="J165" s="360"/>
      <c r="K165" s="361">
        <v>0</v>
      </c>
      <c r="L165" s="72" t="s">
        <v>61</v>
      </c>
    </row>
    <row r="166" spans="1:12" s="162" customFormat="1" x14ac:dyDescent="0.2">
      <c r="A166" s="61"/>
      <c r="B166" s="62"/>
      <c r="C166" s="62"/>
      <c r="D166" s="62"/>
      <c r="E166" s="62"/>
      <c r="F166" s="62"/>
      <c r="G166" s="63"/>
      <c r="H166" s="64"/>
      <c r="I166" s="65"/>
      <c r="J166" s="65"/>
      <c r="K166" s="65"/>
      <c r="L166" s="65"/>
    </row>
    <row r="167" spans="1:12" s="162" customFormat="1" x14ac:dyDescent="0.2">
      <c r="A167" s="61"/>
      <c r="B167" s="62"/>
      <c r="C167" s="62"/>
      <c r="D167" s="362" t="s">
        <v>340</v>
      </c>
      <c r="E167" s="362"/>
      <c r="F167" s="362"/>
      <c r="G167" s="362"/>
      <c r="H167" s="362"/>
      <c r="I167" s="362"/>
      <c r="J167" s="65"/>
      <c r="K167" s="65"/>
      <c r="L167" s="65"/>
    </row>
    <row r="168" spans="1:12" s="162" customFormat="1" x14ac:dyDescent="0.2">
      <c r="A168" s="61"/>
      <c r="B168" s="62"/>
      <c r="C168" s="62"/>
      <c r="D168" s="350" t="s">
        <v>322</v>
      </c>
      <c r="E168" s="350"/>
      <c r="F168" s="350"/>
      <c r="G168" s="350"/>
      <c r="H168" s="158">
        <f>H155</f>
        <v>32</v>
      </c>
      <c r="I168" s="73" t="s">
        <v>7</v>
      </c>
      <c r="J168" s="65"/>
      <c r="K168" s="65"/>
      <c r="L168" s="65"/>
    </row>
    <row r="169" spans="1:12" s="162" customFormat="1" x14ac:dyDescent="0.2">
      <c r="A169" s="61"/>
      <c r="B169" s="62"/>
      <c r="C169" s="62"/>
      <c r="D169" s="350" t="s">
        <v>323</v>
      </c>
      <c r="E169" s="350"/>
      <c r="F169" s="350"/>
      <c r="G169" s="350"/>
      <c r="H169" s="264">
        <f>H156</f>
        <v>41</v>
      </c>
      <c r="I169" s="66" t="s">
        <v>7</v>
      </c>
      <c r="J169" s="65"/>
      <c r="K169" s="65"/>
      <c r="L169" s="65"/>
    </row>
    <row r="170" spans="1:12" s="162" customFormat="1" x14ac:dyDescent="0.2">
      <c r="A170" s="61"/>
      <c r="B170" s="62"/>
      <c r="C170" s="62"/>
      <c r="D170" s="352" t="s">
        <v>41</v>
      </c>
      <c r="E170" s="352"/>
      <c r="F170" s="352"/>
      <c r="G170" s="352"/>
      <c r="H170" s="155">
        <f>H168*H169</f>
        <v>1312</v>
      </c>
      <c r="I170" s="67" t="s">
        <v>5</v>
      </c>
      <c r="J170" s="65"/>
      <c r="K170" s="65"/>
      <c r="L170" s="65"/>
    </row>
    <row r="171" spans="1:12" s="54" customFormat="1" x14ac:dyDescent="0.2">
      <c r="A171" s="61"/>
      <c r="B171" s="62"/>
      <c r="C171" s="62"/>
      <c r="D171" s="52"/>
      <c r="E171" s="52"/>
      <c r="F171" s="52"/>
      <c r="G171" s="52"/>
      <c r="H171" s="52"/>
      <c r="I171" s="67"/>
      <c r="J171" s="65"/>
      <c r="K171" s="65"/>
      <c r="L171" s="65"/>
    </row>
    <row r="172" spans="1:12" s="162" customFormat="1" ht="25.5" customHeight="1" x14ac:dyDescent="0.2">
      <c r="A172" s="69" t="s">
        <v>304</v>
      </c>
      <c r="B172" s="366" t="s">
        <v>300</v>
      </c>
      <c r="C172" s="367"/>
      <c r="D172" s="367"/>
      <c r="E172" s="367"/>
      <c r="F172" s="367"/>
      <c r="G172" s="367"/>
      <c r="H172" s="367"/>
      <c r="I172" s="367"/>
      <c r="J172" s="367"/>
      <c r="K172" s="368"/>
      <c r="L172" s="70" t="s">
        <v>59</v>
      </c>
    </row>
    <row r="173" spans="1:12" s="162" customFormat="1" x14ac:dyDescent="0.2">
      <c r="A173" s="61"/>
      <c r="B173" s="62"/>
      <c r="C173" s="62"/>
      <c r="D173" s="62"/>
      <c r="E173" s="62"/>
      <c r="F173" s="62"/>
      <c r="G173" s="63"/>
      <c r="H173" s="64"/>
      <c r="I173" s="65"/>
      <c r="J173" s="65"/>
      <c r="K173" s="65"/>
      <c r="L173" s="65"/>
    </row>
    <row r="174" spans="1:12" s="162" customFormat="1" x14ac:dyDescent="0.2">
      <c r="A174" s="61"/>
      <c r="B174" s="62"/>
      <c r="C174" s="62"/>
      <c r="D174" s="362" t="s">
        <v>341</v>
      </c>
      <c r="E174" s="362"/>
      <c r="F174" s="362"/>
      <c r="G174" s="362"/>
      <c r="H174" s="362"/>
      <c r="I174" s="362"/>
      <c r="J174" s="65"/>
      <c r="K174" s="65"/>
      <c r="L174" s="65"/>
    </row>
    <row r="175" spans="1:12" s="162" customFormat="1" x14ac:dyDescent="0.2">
      <c r="A175" s="61"/>
      <c r="B175" s="62"/>
      <c r="C175" s="62"/>
      <c r="D175" s="350" t="s">
        <v>324</v>
      </c>
      <c r="E175" s="350"/>
      <c r="F175" s="350"/>
      <c r="G175" s="350"/>
      <c r="H175" s="158">
        <v>0.05</v>
      </c>
      <c r="I175" s="73" t="s">
        <v>7</v>
      </c>
      <c r="J175" s="65"/>
      <c r="K175" s="65"/>
      <c r="L175" s="65"/>
    </row>
    <row r="176" spans="1:12" s="162" customFormat="1" x14ac:dyDescent="0.2">
      <c r="A176" s="61"/>
      <c r="B176" s="62"/>
      <c r="C176" s="62"/>
      <c r="D176" s="351" t="s">
        <v>301</v>
      </c>
      <c r="E176" s="351"/>
      <c r="F176" s="351"/>
      <c r="G176" s="351"/>
      <c r="H176" s="157">
        <f>H86</f>
        <v>1770.48</v>
      </c>
      <c r="I176" s="66" t="s">
        <v>5</v>
      </c>
      <c r="J176" s="65"/>
      <c r="K176" s="65"/>
      <c r="L176" s="65"/>
    </row>
    <row r="177" spans="1:12" s="162" customFormat="1" x14ac:dyDescent="0.2">
      <c r="A177" s="61"/>
      <c r="B177" s="62"/>
      <c r="C177" s="62"/>
      <c r="D177" s="352" t="s">
        <v>41</v>
      </c>
      <c r="E177" s="352"/>
      <c r="F177" s="352"/>
      <c r="G177" s="352"/>
      <c r="H177" s="228">
        <f>H175*H176</f>
        <v>88.524000000000001</v>
      </c>
      <c r="I177" s="67" t="s">
        <v>6</v>
      </c>
      <c r="J177" s="65"/>
      <c r="K177" s="65"/>
      <c r="L177" s="65"/>
    </row>
    <row r="178" spans="1:12" s="162" customFormat="1" x14ac:dyDescent="0.2">
      <c r="A178" s="61"/>
      <c r="B178" s="62"/>
      <c r="C178" s="62"/>
      <c r="D178" s="234"/>
      <c r="E178" s="234"/>
      <c r="F178" s="234"/>
      <c r="G178" s="234"/>
      <c r="H178" s="235"/>
      <c r="I178" s="73"/>
      <c r="J178" s="65"/>
      <c r="K178" s="65"/>
      <c r="L178" s="65"/>
    </row>
    <row r="179" spans="1:12" s="162" customFormat="1" x14ac:dyDescent="0.2">
      <c r="A179" s="61"/>
      <c r="B179" s="62"/>
      <c r="C179" s="62"/>
      <c r="D179" s="362" t="s">
        <v>419</v>
      </c>
      <c r="E179" s="362"/>
      <c r="F179" s="362"/>
      <c r="G179" s="362"/>
      <c r="H179" s="362"/>
      <c r="I179" s="362"/>
      <c r="J179" s="65"/>
      <c r="K179" s="65"/>
      <c r="L179" s="65"/>
    </row>
    <row r="180" spans="1:12" s="162" customFormat="1" x14ac:dyDescent="0.2">
      <c r="A180" s="61"/>
      <c r="B180" s="62"/>
      <c r="C180" s="62"/>
      <c r="D180" s="351" t="s">
        <v>418</v>
      </c>
      <c r="E180" s="351"/>
      <c r="F180" s="351"/>
      <c r="G180" s="351"/>
      <c r="H180" s="229">
        <v>40</v>
      </c>
      <c r="I180" s="66" t="s">
        <v>6</v>
      </c>
      <c r="J180" s="65"/>
      <c r="K180" s="65"/>
      <c r="L180" s="65"/>
    </row>
    <row r="181" spans="1:12" s="162" customFormat="1" x14ac:dyDescent="0.2">
      <c r="A181" s="61"/>
      <c r="B181" s="62"/>
      <c r="C181" s="62"/>
      <c r="D181" s="352" t="s">
        <v>41</v>
      </c>
      <c r="E181" s="352"/>
      <c r="F181" s="352"/>
      <c r="G181" s="352"/>
      <c r="H181" s="228">
        <f>H180</f>
        <v>40</v>
      </c>
      <c r="I181" s="67" t="s">
        <v>6</v>
      </c>
      <c r="J181" s="65"/>
      <c r="K181" s="65"/>
      <c r="L181" s="65"/>
    </row>
    <row r="182" spans="1:12" s="162" customFormat="1" x14ac:dyDescent="0.2">
      <c r="A182" s="61"/>
      <c r="B182" s="62"/>
      <c r="C182" s="62"/>
      <c r="D182" s="234"/>
      <c r="E182" s="234"/>
      <c r="F182" s="234"/>
      <c r="G182" s="234"/>
      <c r="H182" s="235"/>
      <c r="I182" s="73"/>
      <c r="J182" s="65"/>
      <c r="K182" s="65"/>
      <c r="L182" s="65"/>
    </row>
    <row r="183" spans="1:12" s="162" customFormat="1" x14ac:dyDescent="0.2">
      <c r="A183" s="61"/>
      <c r="B183" s="62"/>
      <c r="C183" s="62"/>
      <c r="D183" s="374" t="s">
        <v>41</v>
      </c>
      <c r="E183" s="374"/>
      <c r="F183" s="374"/>
      <c r="G183" s="374"/>
      <c r="H183" s="228">
        <f>H177+H181</f>
        <v>128.524</v>
      </c>
      <c r="I183" s="67" t="s">
        <v>6</v>
      </c>
      <c r="J183" s="65"/>
      <c r="K183" s="65"/>
      <c r="L183" s="65"/>
    </row>
    <row r="184" spans="1:12" s="162" customFormat="1" x14ac:dyDescent="0.2">
      <c r="A184" s="61"/>
      <c r="B184" s="62"/>
      <c r="C184" s="62"/>
      <c r="D184" s="166"/>
      <c r="E184" s="166"/>
      <c r="F184" s="166"/>
      <c r="G184" s="166"/>
      <c r="H184" s="155"/>
      <c r="I184" s="67"/>
      <c r="J184" s="65"/>
      <c r="K184" s="65"/>
      <c r="L184" s="65"/>
    </row>
    <row r="185" spans="1:12" s="162" customFormat="1" ht="25.5" customHeight="1" x14ac:dyDescent="0.2">
      <c r="A185" s="230" t="s">
        <v>304</v>
      </c>
      <c r="B185" s="381" t="s">
        <v>302</v>
      </c>
      <c r="C185" s="382"/>
      <c r="D185" s="382"/>
      <c r="E185" s="382"/>
      <c r="F185" s="382"/>
      <c r="G185" s="382"/>
      <c r="H185" s="382"/>
      <c r="I185" s="382"/>
      <c r="J185" s="382"/>
      <c r="K185" s="383"/>
      <c r="L185" s="161" t="s">
        <v>303</v>
      </c>
    </row>
    <row r="186" spans="1:12" s="162" customFormat="1" x14ac:dyDescent="0.2">
      <c r="A186" s="61"/>
      <c r="B186" s="62"/>
      <c r="C186" s="62"/>
      <c r="D186" s="62"/>
      <c r="E186" s="62"/>
      <c r="F186" s="62"/>
      <c r="G186" s="63"/>
      <c r="H186" s="64"/>
      <c r="I186" s="65"/>
      <c r="J186" s="65"/>
      <c r="K186" s="65"/>
      <c r="L186" s="65"/>
    </row>
    <row r="187" spans="1:12" s="162" customFormat="1" x14ac:dyDescent="0.2">
      <c r="A187" s="61"/>
      <c r="B187" s="62"/>
      <c r="C187" s="62"/>
      <c r="D187" s="350" t="s">
        <v>342</v>
      </c>
      <c r="E187" s="350"/>
      <c r="F187" s="350"/>
      <c r="G187" s="350"/>
      <c r="H187" s="158">
        <v>30</v>
      </c>
      <c r="I187" s="73" t="s">
        <v>290</v>
      </c>
      <c r="J187" s="65"/>
      <c r="K187" s="65"/>
      <c r="L187" s="65"/>
    </row>
    <row r="188" spans="1:12" s="162" customFormat="1" x14ac:dyDescent="0.2">
      <c r="A188" s="61"/>
      <c r="B188" s="62"/>
      <c r="C188" s="62"/>
      <c r="D188" s="351" t="s">
        <v>445</v>
      </c>
      <c r="E188" s="351"/>
      <c r="F188" s="351"/>
      <c r="G188" s="351"/>
      <c r="H188" s="157">
        <f>H183</f>
        <v>128.524</v>
      </c>
      <c r="I188" s="66" t="s">
        <v>6</v>
      </c>
      <c r="J188" s="65"/>
      <c r="K188" s="65"/>
      <c r="L188" s="65"/>
    </row>
    <row r="189" spans="1:12" s="162" customFormat="1" x14ac:dyDescent="0.2">
      <c r="A189" s="61"/>
      <c r="B189" s="62"/>
      <c r="C189" s="62"/>
      <c r="D189" s="352" t="s">
        <v>41</v>
      </c>
      <c r="E189" s="352"/>
      <c r="F189" s="352"/>
      <c r="G189" s="352"/>
      <c r="H189" s="155">
        <f>H187*H188</f>
        <v>3855.7200000000003</v>
      </c>
      <c r="I189" s="67" t="s">
        <v>5</v>
      </c>
      <c r="J189" s="65"/>
      <c r="K189" s="65"/>
      <c r="L189" s="65"/>
    </row>
    <row r="190" spans="1:12" s="54" customFormat="1" ht="12.75" customHeight="1" x14ac:dyDescent="0.2">
      <c r="A190" s="61"/>
      <c r="B190" s="62"/>
      <c r="C190" s="62"/>
      <c r="D190" s="155"/>
      <c r="E190" s="155"/>
      <c r="F190" s="155"/>
      <c r="G190" s="155"/>
      <c r="H190" s="155"/>
      <c r="I190" s="67"/>
      <c r="J190" s="65"/>
      <c r="K190" s="65"/>
      <c r="L190" s="65"/>
    </row>
    <row r="191" spans="1:12" s="54" customFormat="1" x14ac:dyDescent="0.2">
      <c r="A191" s="58" t="s">
        <v>142</v>
      </c>
      <c r="B191" s="357" t="s">
        <v>18</v>
      </c>
      <c r="C191" s="358"/>
      <c r="D191" s="358"/>
      <c r="E191" s="358"/>
      <c r="F191" s="358"/>
      <c r="G191" s="358" t="s">
        <v>43</v>
      </c>
      <c r="H191" s="358"/>
      <c r="I191" s="358"/>
      <c r="J191" s="358"/>
      <c r="K191" s="358"/>
      <c r="L191" s="358">
        <v>0</v>
      </c>
    </row>
    <row r="192" spans="1:12" s="162" customFormat="1" ht="25.5" customHeight="1" x14ac:dyDescent="0.2">
      <c r="A192" s="71" t="s">
        <v>21</v>
      </c>
      <c r="B192" s="353" t="s">
        <v>493</v>
      </c>
      <c r="C192" s="354"/>
      <c r="D192" s="354"/>
      <c r="E192" s="354"/>
      <c r="F192" s="354"/>
      <c r="G192" s="354"/>
      <c r="H192" s="354"/>
      <c r="I192" s="354"/>
      <c r="J192" s="354"/>
      <c r="K192" s="355"/>
      <c r="L192" s="161" t="s">
        <v>60</v>
      </c>
    </row>
    <row r="193" spans="1:21" s="54" customFormat="1" x14ac:dyDescent="0.2">
      <c r="A193" s="61"/>
      <c r="B193" s="62"/>
      <c r="C193" s="62"/>
      <c r="D193" s="62"/>
      <c r="E193" s="62"/>
      <c r="F193" s="62"/>
      <c r="G193" s="63"/>
      <c r="H193" s="64"/>
      <c r="I193" s="65"/>
      <c r="J193" s="65"/>
      <c r="K193" s="65"/>
      <c r="L193" s="65"/>
    </row>
    <row r="194" spans="1:21" s="54" customFormat="1" x14ac:dyDescent="0.2">
      <c r="A194" s="61"/>
      <c r="B194" s="62"/>
      <c r="C194" s="62"/>
      <c r="D194" s="362" t="s">
        <v>305</v>
      </c>
      <c r="E194" s="362"/>
      <c r="F194" s="362"/>
      <c r="G194" s="362"/>
      <c r="H194" s="362"/>
      <c r="I194" s="362"/>
      <c r="J194" s="65"/>
      <c r="K194" s="65"/>
      <c r="L194" s="65"/>
      <c r="O194" s="308"/>
      <c r="Q194" s="310"/>
    </row>
    <row r="195" spans="1:21" s="54" customFormat="1" x14ac:dyDescent="0.2">
      <c r="A195" s="61"/>
      <c r="B195" s="62"/>
      <c r="C195" s="62"/>
      <c r="D195" s="350" t="s">
        <v>446</v>
      </c>
      <c r="E195" s="350"/>
      <c r="F195" s="350"/>
      <c r="G195" s="350"/>
      <c r="H195" s="226">
        <v>0.2</v>
      </c>
      <c r="I195" s="73" t="s">
        <v>7</v>
      </c>
      <c r="J195" s="65"/>
      <c r="K195" s="65"/>
      <c r="L195" s="65"/>
      <c r="O195" s="308"/>
      <c r="Q195" s="310"/>
    </row>
    <row r="196" spans="1:21" s="54" customFormat="1" x14ac:dyDescent="0.2">
      <c r="A196" s="61"/>
      <c r="B196" s="62"/>
      <c r="C196" s="62"/>
      <c r="D196" s="350" t="s">
        <v>446</v>
      </c>
      <c r="E196" s="350"/>
      <c r="F196" s="350"/>
      <c r="G196" s="350"/>
      <c r="H196" s="226">
        <v>0.2</v>
      </c>
      <c r="I196" s="73" t="s">
        <v>7</v>
      </c>
      <c r="J196" s="65"/>
      <c r="K196" s="65"/>
      <c r="L196" s="65"/>
      <c r="O196" s="308"/>
      <c r="Q196" s="310"/>
    </row>
    <row r="197" spans="1:21" s="54" customFormat="1" x14ac:dyDescent="0.2">
      <c r="A197" s="61"/>
      <c r="B197" s="62"/>
      <c r="C197" s="62"/>
      <c r="D197" s="350" t="s">
        <v>447</v>
      </c>
      <c r="E197" s="350"/>
      <c r="F197" s="350"/>
      <c r="G197" s="350"/>
      <c r="H197" s="226">
        <v>0.05</v>
      </c>
      <c r="I197" s="73" t="s">
        <v>7</v>
      </c>
      <c r="J197" s="65"/>
      <c r="K197" s="65"/>
      <c r="L197" s="65"/>
      <c r="O197" s="308"/>
      <c r="Q197" s="310"/>
    </row>
    <row r="198" spans="1:21" s="54" customFormat="1" x14ac:dyDescent="0.2">
      <c r="A198" s="61"/>
      <c r="B198" s="62"/>
      <c r="C198" s="62"/>
      <c r="D198" s="350" t="s">
        <v>346</v>
      </c>
      <c r="E198" s="350"/>
      <c r="F198" s="350"/>
      <c r="G198" s="350"/>
      <c r="H198" s="158">
        <f>2*(H195+H196+H197)</f>
        <v>0.9</v>
      </c>
      <c r="I198" s="73" t="s">
        <v>7</v>
      </c>
      <c r="J198" s="65"/>
      <c r="K198" s="65"/>
      <c r="L198" s="65"/>
      <c r="O198" s="308"/>
      <c r="Q198" s="310"/>
      <c r="S198" s="315" t="s">
        <v>449</v>
      </c>
      <c r="T198" s="54">
        <v>0.5</v>
      </c>
      <c r="U198" s="315" t="s">
        <v>7</v>
      </c>
    </row>
    <row r="199" spans="1:21" s="54" customFormat="1" x14ac:dyDescent="0.2">
      <c r="A199" s="61"/>
      <c r="B199" s="62"/>
      <c r="C199" s="62"/>
      <c r="D199" s="350" t="s">
        <v>450</v>
      </c>
      <c r="E199" s="350"/>
      <c r="F199" s="350"/>
      <c r="G199" s="350"/>
      <c r="H199" s="226">
        <f>T198+T208</f>
        <v>1.2</v>
      </c>
      <c r="I199" s="73" t="s">
        <v>7</v>
      </c>
      <c r="J199" s="65"/>
      <c r="K199" s="65"/>
      <c r="L199" s="65"/>
      <c r="O199" s="308"/>
      <c r="Q199" s="310"/>
      <c r="S199" s="315"/>
      <c r="U199" s="315"/>
    </row>
    <row r="200" spans="1:21" s="54" customFormat="1" x14ac:dyDescent="0.2">
      <c r="A200" s="61"/>
      <c r="B200" s="62"/>
      <c r="C200" s="62"/>
      <c r="D200" s="350" t="s">
        <v>451</v>
      </c>
      <c r="E200" s="350"/>
      <c r="F200" s="350"/>
      <c r="G200" s="350"/>
      <c r="H200" s="226">
        <v>0.1</v>
      </c>
      <c r="I200" s="73" t="s">
        <v>7</v>
      </c>
      <c r="J200" s="65"/>
      <c r="K200" s="65"/>
      <c r="L200" s="65"/>
      <c r="O200" s="308"/>
      <c r="Q200" s="310"/>
      <c r="S200" s="315"/>
      <c r="U200" s="315"/>
    </row>
    <row r="201" spans="1:21" s="54" customFormat="1" x14ac:dyDescent="0.2">
      <c r="A201" s="61"/>
      <c r="B201" s="62"/>
      <c r="C201" s="62"/>
      <c r="D201" s="377" t="s">
        <v>345</v>
      </c>
      <c r="E201" s="377"/>
      <c r="F201" s="377"/>
      <c r="G201" s="377"/>
      <c r="H201" s="157">
        <f>H199/H200</f>
        <v>11.999999999999998</v>
      </c>
      <c r="I201" s="66" t="s">
        <v>348</v>
      </c>
      <c r="J201" s="65"/>
      <c r="K201" s="65"/>
      <c r="L201" s="65"/>
      <c r="O201" s="308"/>
      <c r="Q201" s="310"/>
    </row>
    <row r="202" spans="1:21" s="54" customFormat="1" x14ac:dyDescent="0.2">
      <c r="A202" s="61"/>
      <c r="B202" s="62"/>
      <c r="C202" s="62"/>
      <c r="D202" s="356" t="s">
        <v>452</v>
      </c>
      <c r="E202" s="356"/>
      <c r="F202" s="356"/>
      <c r="G202" s="356"/>
      <c r="H202" s="155">
        <f>H198*H201</f>
        <v>10.799999999999999</v>
      </c>
      <c r="I202" s="67" t="s">
        <v>7</v>
      </c>
      <c r="J202" s="65"/>
      <c r="K202" s="65"/>
      <c r="L202" s="65"/>
      <c r="O202" s="308"/>
      <c r="Q202" s="310"/>
    </row>
    <row r="203" spans="1:21" s="54" customFormat="1" x14ac:dyDescent="0.2">
      <c r="A203" s="61"/>
      <c r="B203" s="62"/>
      <c r="C203" s="62"/>
      <c r="D203" s="62"/>
      <c r="E203" s="62"/>
      <c r="F203" s="62"/>
      <c r="G203" s="63"/>
      <c r="H203" s="64"/>
      <c r="I203" s="65"/>
      <c r="J203" s="65"/>
      <c r="K203" s="65"/>
      <c r="L203" s="65"/>
      <c r="O203" s="308"/>
      <c r="Q203" s="310"/>
    </row>
    <row r="204" spans="1:21" s="54" customFormat="1" x14ac:dyDescent="0.2">
      <c r="A204" s="61"/>
      <c r="B204" s="62"/>
      <c r="C204" s="62"/>
      <c r="D204" s="362" t="s">
        <v>306</v>
      </c>
      <c r="E204" s="362"/>
      <c r="F204" s="362"/>
      <c r="G204" s="362"/>
      <c r="H204" s="362"/>
      <c r="I204" s="362"/>
      <c r="J204" s="65"/>
      <c r="K204" s="65"/>
      <c r="L204" s="65"/>
      <c r="O204" s="308"/>
      <c r="Q204" s="310"/>
    </row>
    <row r="205" spans="1:21" s="54" customFormat="1" x14ac:dyDescent="0.2">
      <c r="A205" s="61"/>
      <c r="B205" s="62"/>
      <c r="C205" s="62"/>
      <c r="D205" s="350" t="s">
        <v>44</v>
      </c>
      <c r="E205" s="350"/>
      <c r="F205" s="350"/>
      <c r="G205" s="350"/>
      <c r="H205" s="158">
        <f>H202</f>
        <v>10.799999999999999</v>
      </c>
      <c r="I205" s="73" t="s">
        <v>7</v>
      </c>
      <c r="J205" s="65"/>
      <c r="K205" s="65"/>
      <c r="L205" s="65"/>
      <c r="N205" s="312"/>
      <c r="O205" s="313"/>
      <c r="P205" s="312"/>
      <c r="Q205" s="314"/>
      <c r="R205" s="312"/>
    </row>
    <row r="206" spans="1:21" s="54" customFormat="1" x14ac:dyDescent="0.2">
      <c r="A206" s="61"/>
      <c r="B206" s="62"/>
      <c r="C206" s="62"/>
      <c r="D206" s="377" t="s">
        <v>347</v>
      </c>
      <c r="E206" s="377"/>
      <c r="F206" s="377"/>
      <c r="G206" s="377"/>
      <c r="H206" s="81">
        <v>0.154</v>
      </c>
      <c r="I206" s="66" t="s">
        <v>177</v>
      </c>
      <c r="J206" s="65"/>
      <c r="K206" s="65"/>
      <c r="L206" s="65"/>
      <c r="O206" s="308"/>
      <c r="Q206" s="310"/>
    </row>
    <row r="207" spans="1:21" s="54" customFormat="1" x14ac:dyDescent="0.2">
      <c r="A207" s="61"/>
      <c r="B207" s="62"/>
      <c r="C207" s="62"/>
      <c r="D207" s="356" t="s">
        <v>186</v>
      </c>
      <c r="E207" s="356"/>
      <c r="F207" s="356"/>
      <c r="G207" s="356"/>
      <c r="H207" s="155">
        <f>H205*H206</f>
        <v>1.6631999999999998</v>
      </c>
      <c r="I207" s="67" t="s">
        <v>150</v>
      </c>
      <c r="J207" s="65"/>
      <c r="K207" s="65"/>
      <c r="L207" s="65"/>
      <c r="O207" s="308"/>
      <c r="Q207" s="310"/>
    </row>
    <row r="208" spans="1:21" s="54" customFormat="1" x14ac:dyDescent="0.2">
      <c r="A208" s="61"/>
      <c r="B208" s="62"/>
      <c r="C208" s="62"/>
      <c r="D208" s="155"/>
      <c r="E208" s="155"/>
      <c r="F208" s="155"/>
      <c r="G208" s="155"/>
      <c r="H208" s="155"/>
      <c r="I208" s="67"/>
      <c r="J208" s="65"/>
      <c r="K208" s="65"/>
      <c r="L208" s="65"/>
      <c r="O208" s="308"/>
      <c r="Q208" s="310"/>
      <c r="S208" s="315" t="s">
        <v>448</v>
      </c>
      <c r="T208" s="54">
        <v>0.7</v>
      </c>
      <c r="U208" s="315" t="s">
        <v>7</v>
      </c>
    </row>
    <row r="209" spans="1:25" s="54" customFormat="1" x14ac:dyDescent="0.2">
      <c r="A209" s="61"/>
      <c r="B209" s="62"/>
      <c r="C209" s="62"/>
      <c r="D209" s="362" t="s">
        <v>179</v>
      </c>
      <c r="E209" s="362"/>
      <c r="F209" s="362"/>
      <c r="G209" s="362"/>
      <c r="H209" s="362"/>
      <c r="I209" s="362"/>
      <c r="J209" s="65"/>
      <c r="K209" s="65"/>
      <c r="L209" s="65"/>
      <c r="O209" s="308"/>
      <c r="Q209" s="310"/>
    </row>
    <row r="210" spans="1:25" s="54" customFormat="1" x14ac:dyDescent="0.2">
      <c r="A210" s="61"/>
      <c r="B210" s="62"/>
      <c r="C210" s="62"/>
      <c r="D210" s="350" t="s">
        <v>186</v>
      </c>
      <c r="E210" s="350"/>
      <c r="F210" s="350"/>
      <c r="G210" s="350"/>
      <c r="H210" s="158">
        <f>H207</f>
        <v>1.6631999999999998</v>
      </c>
      <c r="I210" s="73" t="s">
        <v>150</v>
      </c>
      <c r="J210" s="65"/>
      <c r="K210" s="65"/>
      <c r="L210" s="65"/>
      <c r="O210" s="308"/>
      <c r="Q210" s="310"/>
    </row>
    <row r="211" spans="1:25" s="54" customFormat="1" x14ac:dyDescent="0.2">
      <c r="A211" s="61"/>
      <c r="B211" s="62"/>
      <c r="C211" s="62"/>
      <c r="D211" s="351" t="s">
        <v>187</v>
      </c>
      <c r="E211" s="351"/>
      <c r="F211" s="351"/>
      <c r="G211" s="351"/>
      <c r="H211" s="157">
        <f>H120</f>
        <v>50</v>
      </c>
      <c r="I211" s="66" t="s">
        <v>188</v>
      </c>
      <c r="J211" s="65"/>
      <c r="K211" s="65"/>
      <c r="L211" s="65"/>
      <c r="O211" s="308"/>
      <c r="Q211" s="310"/>
    </row>
    <row r="212" spans="1:25" s="54" customFormat="1" x14ac:dyDescent="0.2">
      <c r="A212" s="61"/>
      <c r="B212" s="62"/>
      <c r="C212" s="62"/>
      <c r="D212" s="356" t="s">
        <v>41</v>
      </c>
      <c r="E212" s="356"/>
      <c r="F212" s="356"/>
      <c r="G212" s="356"/>
      <c r="H212" s="155">
        <f>H210*H211</f>
        <v>83.16</v>
      </c>
      <c r="I212" s="67" t="s">
        <v>150</v>
      </c>
      <c r="J212" s="65"/>
      <c r="K212" s="65"/>
      <c r="L212" s="65"/>
      <c r="O212" s="309"/>
      <c r="Q212" s="311"/>
    </row>
    <row r="213" spans="1:25" s="54" customFormat="1" x14ac:dyDescent="0.2">
      <c r="A213" s="61"/>
      <c r="B213" s="62"/>
      <c r="C213" s="62"/>
      <c r="D213" s="155"/>
      <c r="E213" s="155"/>
      <c r="F213" s="155"/>
      <c r="G213" s="155"/>
      <c r="H213" s="155"/>
      <c r="I213" s="67"/>
      <c r="J213" s="65"/>
      <c r="K213" s="65"/>
      <c r="L213" s="65"/>
    </row>
    <row r="214" spans="1:25" s="54" customFormat="1" x14ac:dyDescent="0.2">
      <c r="A214" s="61"/>
      <c r="B214" s="62"/>
      <c r="C214" s="62"/>
      <c r="D214" s="356" t="s">
        <v>453</v>
      </c>
      <c r="E214" s="356"/>
      <c r="F214" s="356"/>
      <c r="G214" s="356"/>
      <c r="H214" s="155">
        <f>H212</f>
        <v>83.16</v>
      </c>
      <c r="I214" s="67" t="s">
        <v>150</v>
      </c>
      <c r="J214" s="65"/>
      <c r="K214" s="65"/>
      <c r="L214" s="65"/>
    </row>
    <row r="215" spans="1:25" s="54" customFormat="1" x14ac:dyDescent="0.2">
      <c r="A215" s="61"/>
      <c r="B215" s="62"/>
      <c r="C215" s="62"/>
      <c r="D215" s="155"/>
      <c r="E215" s="155"/>
      <c r="F215" s="155"/>
      <c r="G215" s="155"/>
      <c r="H215" s="155"/>
      <c r="I215" s="67"/>
      <c r="J215" s="65"/>
      <c r="K215" s="65"/>
      <c r="L215" s="65"/>
    </row>
    <row r="216" spans="1:25" s="162" customFormat="1" x14ac:dyDescent="0.2">
      <c r="A216" s="69" t="s">
        <v>97</v>
      </c>
      <c r="B216" s="378" t="s">
        <v>494</v>
      </c>
      <c r="C216" s="379"/>
      <c r="D216" s="379"/>
      <c r="E216" s="379"/>
      <c r="F216" s="379"/>
      <c r="G216" s="379"/>
      <c r="H216" s="379"/>
      <c r="I216" s="379"/>
      <c r="J216" s="379"/>
      <c r="K216" s="380"/>
      <c r="L216" s="70" t="s">
        <v>60</v>
      </c>
    </row>
    <row r="217" spans="1:25" s="54" customFormat="1" x14ac:dyDescent="0.2">
      <c r="A217" s="61"/>
      <c r="B217" s="62"/>
      <c r="C217" s="62"/>
      <c r="D217" s="62"/>
      <c r="E217" s="62"/>
      <c r="F217" s="62"/>
      <c r="G217" s="63"/>
      <c r="H217" s="64"/>
      <c r="I217" s="65"/>
      <c r="J217" s="65"/>
      <c r="K217" s="65"/>
      <c r="L217" s="65"/>
    </row>
    <row r="218" spans="1:25" s="54" customFormat="1" x14ac:dyDescent="0.2">
      <c r="A218" s="61"/>
      <c r="B218" s="62"/>
      <c r="C218" s="62"/>
      <c r="D218" s="362" t="s">
        <v>175</v>
      </c>
      <c r="E218" s="362"/>
      <c r="F218" s="362"/>
      <c r="G218" s="362"/>
      <c r="H218" s="362"/>
      <c r="I218" s="362"/>
      <c r="J218" s="65"/>
      <c r="K218" s="65"/>
      <c r="L218" s="65"/>
    </row>
    <row r="219" spans="1:25" s="54" customFormat="1" x14ac:dyDescent="0.2">
      <c r="A219" s="61"/>
      <c r="B219" s="62"/>
      <c r="C219" s="62"/>
      <c r="D219" s="350" t="s">
        <v>171</v>
      </c>
      <c r="E219" s="350"/>
      <c r="F219" s="350"/>
      <c r="G219" s="350"/>
      <c r="H219" s="158">
        <f>N230+R231+V230</f>
        <v>0.79999999999999993</v>
      </c>
      <c r="I219" s="73" t="s">
        <v>7</v>
      </c>
      <c r="J219" s="65"/>
      <c r="K219" s="65"/>
      <c r="L219" s="65"/>
    </row>
    <row r="220" spans="1:25" s="54" customFormat="1" x14ac:dyDescent="0.2">
      <c r="A220" s="61"/>
      <c r="B220" s="62"/>
      <c r="C220" s="62"/>
      <c r="D220" s="377" t="s">
        <v>173</v>
      </c>
      <c r="E220" s="377"/>
      <c r="F220" s="377"/>
      <c r="G220" s="377"/>
      <c r="H220" s="157">
        <v>16</v>
      </c>
      <c r="I220" s="66" t="s">
        <v>172</v>
      </c>
      <c r="J220" s="65"/>
      <c r="K220" s="65"/>
      <c r="L220" s="65"/>
      <c r="N220" s="316"/>
      <c r="O220" s="317"/>
      <c r="P220" s="317"/>
      <c r="Q220" s="317"/>
      <c r="R220" s="317"/>
      <c r="S220" s="317"/>
      <c r="T220" s="317"/>
      <c r="U220" s="317"/>
      <c r="V220" s="318"/>
      <c r="X220" s="321">
        <v>0.1</v>
      </c>
    </row>
    <row r="221" spans="1:25" s="54" customFormat="1" x14ac:dyDescent="0.2">
      <c r="A221" s="61"/>
      <c r="B221" s="62"/>
      <c r="C221" s="62"/>
      <c r="D221" s="356" t="s">
        <v>174</v>
      </c>
      <c r="E221" s="356"/>
      <c r="F221" s="356"/>
      <c r="G221" s="356"/>
      <c r="H221" s="155">
        <f>H219*H220</f>
        <v>12.799999999999999</v>
      </c>
      <c r="I221" s="67" t="s">
        <v>7</v>
      </c>
      <c r="J221" s="65"/>
      <c r="K221" s="65"/>
      <c r="L221" s="65"/>
      <c r="N221" s="310"/>
      <c r="O221" s="320"/>
      <c r="P221" s="320"/>
      <c r="Q221" s="320"/>
      <c r="R221" s="320"/>
      <c r="S221" s="320"/>
      <c r="T221" s="320"/>
      <c r="U221" s="320"/>
      <c r="V221" s="308"/>
      <c r="X221" s="323"/>
    </row>
    <row r="222" spans="1:25" s="54" customFormat="1" x14ac:dyDescent="0.2">
      <c r="A222" s="61"/>
      <c r="B222" s="62"/>
      <c r="C222" s="62"/>
      <c r="D222" s="62"/>
      <c r="E222" s="62"/>
      <c r="F222" s="62"/>
      <c r="G222" s="63"/>
      <c r="H222" s="64"/>
      <c r="I222" s="65"/>
      <c r="J222" s="65"/>
      <c r="K222" s="65"/>
      <c r="L222" s="65"/>
      <c r="N222" s="310"/>
      <c r="O222" s="320"/>
      <c r="P222" s="320"/>
      <c r="Q222" s="320"/>
      <c r="R222" s="320"/>
      <c r="S222" s="320"/>
      <c r="T222" s="320"/>
      <c r="U222" s="320"/>
      <c r="V222" s="308"/>
      <c r="X222" s="324"/>
    </row>
    <row r="223" spans="1:25" s="54" customFormat="1" x14ac:dyDescent="0.2">
      <c r="A223" s="61"/>
      <c r="B223" s="62"/>
      <c r="C223" s="62"/>
      <c r="D223" s="362" t="s">
        <v>176</v>
      </c>
      <c r="E223" s="362"/>
      <c r="F223" s="362"/>
      <c r="G223" s="362"/>
      <c r="H223" s="362"/>
      <c r="I223" s="362"/>
      <c r="J223" s="65"/>
      <c r="K223" s="65"/>
      <c r="L223" s="65"/>
      <c r="N223" s="310"/>
      <c r="O223" s="320"/>
      <c r="P223" s="320"/>
      <c r="Q223" s="320"/>
      <c r="R223" s="320"/>
      <c r="S223" s="320"/>
      <c r="T223" s="320"/>
      <c r="U223" s="320"/>
      <c r="V223" s="308"/>
      <c r="X223" s="324"/>
      <c r="Y223" s="394">
        <v>0.6</v>
      </c>
    </row>
    <row r="224" spans="1:25" s="54" customFormat="1" ht="12.75" customHeight="1" x14ac:dyDescent="0.2">
      <c r="A224" s="61"/>
      <c r="B224" s="62"/>
      <c r="C224" s="62"/>
      <c r="D224" s="350" t="s">
        <v>44</v>
      </c>
      <c r="E224" s="350"/>
      <c r="F224" s="350"/>
      <c r="G224" s="350"/>
      <c r="H224" s="158">
        <f>H221</f>
        <v>12.799999999999999</v>
      </c>
      <c r="I224" s="73" t="s">
        <v>7</v>
      </c>
      <c r="J224" s="65"/>
      <c r="K224" s="65"/>
      <c r="L224" s="65"/>
      <c r="N224" s="310"/>
      <c r="O224" s="320"/>
      <c r="P224" s="320"/>
      <c r="Q224" s="320"/>
      <c r="R224" s="320"/>
      <c r="S224" s="320"/>
      <c r="T224" s="320"/>
      <c r="U224" s="320"/>
      <c r="V224" s="308"/>
      <c r="X224" s="324"/>
      <c r="Y224" s="394"/>
    </row>
    <row r="225" spans="1:24" s="54" customFormat="1" x14ac:dyDescent="0.2">
      <c r="A225" s="61"/>
      <c r="B225" s="62"/>
      <c r="C225" s="62"/>
      <c r="D225" s="377" t="s">
        <v>228</v>
      </c>
      <c r="E225" s="377"/>
      <c r="F225" s="377"/>
      <c r="G225" s="377"/>
      <c r="H225" s="81">
        <v>0.39500000000000002</v>
      </c>
      <c r="I225" s="66" t="s">
        <v>177</v>
      </c>
      <c r="J225" s="65"/>
      <c r="K225" s="65"/>
      <c r="L225" s="65"/>
      <c r="N225" s="310"/>
      <c r="O225" s="320"/>
      <c r="P225" s="320"/>
      <c r="Q225" s="320"/>
      <c r="R225" s="320"/>
      <c r="S225" s="320"/>
      <c r="T225" s="320"/>
      <c r="U225" s="320"/>
      <c r="V225" s="308"/>
      <c r="X225" s="324"/>
    </row>
    <row r="226" spans="1:24" s="54" customFormat="1" x14ac:dyDescent="0.2">
      <c r="A226" s="61"/>
      <c r="B226" s="62"/>
      <c r="C226" s="62"/>
      <c r="D226" s="356" t="s">
        <v>178</v>
      </c>
      <c r="E226" s="356"/>
      <c r="F226" s="356"/>
      <c r="G226" s="356"/>
      <c r="H226" s="155">
        <f>H224*H225</f>
        <v>5.056</v>
      </c>
      <c r="I226" s="67" t="s">
        <v>150</v>
      </c>
      <c r="J226" s="65"/>
      <c r="K226" s="65"/>
      <c r="L226" s="65"/>
      <c r="N226" s="310"/>
      <c r="O226" s="320"/>
      <c r="P226" s="320"/>
      <c r="Q226" s="320"/>
      <c r="R226" s="320"/>
      <c r="S226" s="320"/>
      <c r="T226" s="320"/>
      <c r="U226" s="320"/>
      <c r="V226" s="308"/>
      <c r="X226" s="325"/>
    </row>
    <row r="227" spans="1:24" s="54" customFormat="1" x14ac:dyDescent="0.2">
      <c r="A227" s="61"/>
      <c r="B227" s="62"/>
      <c r="C227" s="62"/>
      <c r="D227" s="155"/>
      <c r="E227" s="155"/>
      <c r="F227" s="155"/>
      <c r="G227" s="155"/>
      <c r="H227" s="155"/>
      <c r="I227" s="67"/>
      <c r="J227" s="65"/>
      <c r="K227" s="65"/>
      <c r="L227" s="65"/>
      <c r="N227" s="310"/>
      <c r="O227" s="320"/>
      <c r="P227" s="320"/>
      <c r="Q227" s="320"/>
      <c r="R227" s="320"/>
      <c r="S227" s="320"/>
      <c r="T227" s="320"/>
      <c r="U227" s="320"/>
      <c r="V227" s="308"/>
      <c r="X227" s="321">
        <v>0.1</v>
      </c>
    </row>
    <row r="228" spans="1:24" s="54" customFormat="1" x14ac:dyDescent="0.2">
      <c r="A228" s="61"/>
      <c r="B228" s="62"/>
      <c r="C228" s="62"/>
      <c r="D228" s="362" t="s">
        <v>179</v>
      </c>
      <c r="E228" s="362"/>
      <c r="F228" s="362"/>
      <c r="G228" s="362"/>
      <c r="H228" s="362"/>
      <c r="I228" s="362"/>
      <c r="J228" s="65"/>
      <c r="K228" s="65"/>
      <c r="L228" s="65"/>
      <c r="N228" s="311"/>
      <c r="O228" s="307"/>
      <c r="P228" s="307"/>
      <c r="Q228" s="307"/>
      <c r="R228" s="307"/>
      <c r="S228" s="307"/>
      <c r="T228" s="307"/>
      <c r="U228" s="307"/>
      <c r="V228" s="309"/>
    </row>
    <row r="229" spans="1:24" s="54" customFormat="1" x14ac:dyDescent="0.2">
      <c r="A229" s="61"/>
      <c r="B229" s="62"/>
      <c r="C229" s="62"/>
      <c r="D229" s="350" t="s">
        <v>178</v>
      </c>
      <c r="E229" s="350"/>
      <c r="F229" s="350"/>
      <c r="G229" s="350"/>
      <c r="H229" s="158">
        <f>H226</f>
        <v>5.056</v>
      </c>
      <c r="I229" s="73" t="s">
        <v>150</v>
      </c>
      <c r="J229" s="65"/>
      <c r="K229" s="65"/>
      <c r="L229" s="65"/>
    </row>
    <row r="230" spans="1:24" s="54" customFormat="1" x14ac:dyDescent="0.2">
      <c r="A230" s="61"/>
      <c r="B230" s="62"/>
      <c r="C230" s="62"/>
      <c r="D230" s="351" t="s">
        <v>180</v>
      </c>
      <c r="E230" s="351"/>
      <c r="F230" s="351"/>
      <c r="G230" s="351"/>
      <c r="H230" s="157">
        <f>H211</f>
        <v>50</v>
      </c>
      <c r="I230" s="66" t="s">
        <v>48</v>
      </c>
      <c r="J230" s="65"/>
      <c r="K230" s="65"/>
      <c r="L230" s="65"/>
      <c r="N230" s="54">
        <v>0.1</v>
      </c>
      <c r="O230" s="311"/>
      <c r="P230" s="307"/>
      <c r="Q230" s="307"/>
      <c r="R230" s="307"/>
      <c r="S230" s="307"/>
      <c r="T230" s="307"/>
      <c r="U230" s="309"/>
      <c r="V230" s="322">
        <v>0.1</v>
      </c>
    </row>
    <row r="231" spans="1:24" s="54" customFormat="1" x14ac:dyDescent="0.2">
      <c r="A231" s="61"/>
      <c r="B231" s="62"/>
      <c r="C231" s="62"/>
      <c r="D231" s="356" t="s">
        <v>41</v>
      </c>
      <c r="E231" s="356"/>
      <c r="F231" s="356"/>
      <c r="G231" s="356"/>
      <c r="H231" s="155">
        <f>H229*H230</f>
        <v>252.8</v>
      </c>
      <c r="I231" s="67" t="s">
        <v>150</v>
      </c>
      <c r="J231" s="65"/>
      <c r="K231" s="65"/>
      <c r="L231" s="65"/>
      <c r="R231" s="321">
        <v>0.6</v>
      </c>
    </row>
    <row r="232" spans="1:24" s="54" customFormat="1" x14ac:dyDescent="0.2">
      <c r="A232" s="61"/>
      <c r="B232" s="62"/>
      <c r="C232" s="62"/>
      <c r="D232" s="155"/>
      <c r="E232" s="155"/>
      <c r="F232" s="155"/>
      <c r="G232" s="155"/>
      <c r="H232" s="155"/>
      <c r="I232" s="67"/>
      <c r="J232" s="65"/>
      <c r="K232" s="65"/>
      <c r="L232" s="65"/>
    </row>
    <row r="233" spans="1:24" s="54" customFormat="1" x14ac:dyDescent="0.2">
      <c r="A233" s="61"/>
      <c r="B233" s="62"/>
      <c r="C233" s="62"/>
      <c r="D233" s="356" t="s">
        <v>181</v>
      </c>
      <c r="E233" s="356"/>
      <c r="F233" s="356"/>
      <c r="G233" s="356"/>
      <c r="H233" s="155">
        <f>H231</f>
        <v>252.8</v>
      </c>
      <c r="I233" s="67" t="s">
        <v>150</v>
      </c>
      <c r="J233" s="65"/>
      <c r="K233" s="65"/>
      <c r="L233" s="65"/>
    </row>
    <row r="234" spans="1:24" s="54" customFormat="1" x14ac:dyDescent="0.2">
      <c r="A234" s="61"/>
      <c r="B234" s="62"/>
      <c r="C234" s="62"/>
      <c r="D234" s="155"/>
      <c r="E234" s="155"/>
      <c r="F234" s="155"/>
      <c r="G234" s="155"/>
      <c r="H234" s="155"/>
      <c r="I234" s="67"/>
      <c r="J234" s="65"/>
      <c r="K234" s="65"/>
      <c r="L234" s="65"/>
    </row>
    <row r="235" spans="1:24" s="162" customFormat="1" ht="25.5" customHeight="1" x14ac:dyDescent="0.2">
      <c r="A235" s="71" t="s">
        <v>122</v>
      </c>
      <c r="B235" s="353" t="s">
        <v>190</v>
      </c>
      <c r="C235" s="354"/>
      <c r="D235" s="354"/>
      <c r="E235" s="354"/>
      <c r="F235" s="354"/>
      <c r="G235" s="354"/>
      <c r="H235" s="354"/>
      <c r="I235" s="354"/>
      <c r="J235" s="354"/>
      <c r="K235" s="355"/>
      <c r="L235" s="161" t="s">
        <v>60</v>
      </c>
    </row>
    <row r="236" spans="1:24" s="54" customFormat="1" x14ac:dyDescent="0.2">
      <c r="A236" s="61"/>
      <c r="B236" s="62"/>
      <c r="C236" s="62"/>
      <c r="D236" s="62"/>
      <c r="E236" s="62"/>
      <c r="F236" s="62"/>
      <c r="G236" s="63"/>
      <c r="H236" s="64"/>
      <c r="I236" s="65"/>
      <c r="J236" s="65"/>
      <c r="K236" s="65"/>
      <c r="L236" s="65"/>
    </row>
    <row r="237" spans="1:24" s="54" customFormat="1" x14ac:dyDescent="0.2">
      <c r="A237" s="61"/>
      <c r="B237" s="62"/>
      <c r="C237" s="62"/>
      <c r="D237" s="362" t="s">
        <v>183</v>
      </c>
      <c r="E237" s="362"/>
      <c r="F237" s="362"/>
      <c r="G237" s="362"/>
      <c r="H237" s="362"/>
      <c r="I237" s="362"/>
      <c r="J237" s="65"/>
      <c r="K237" s="65"/>
      <c r="L237" s="65"/>
      <c r="P237" s="319"/>
      <c r="Q237" s="319"/>
      <c r="R237" s="319"/>
    </row>
    <row r="238" spans="1:24" s="54" customFormat="1" x14ac:dyDescent="0.2">
      <c r="A238" s="61"/>
      <c r="B238" s="62"/>
      <c r="C238" s="62"/>
      <c r="D238" s="350" t="s">
        <v>171</v>
      </c>
      <c r="E238" s="350"/>
      <c r="F238" s="350"/>
      <c r="G238" s="350"/>
      <c r="H238" s="158">
        <f>R250+U246+U240</f>
        <v>1.5</v>
      </c>
      <c r="I238" s="73" t="s">
        <v>7</v>
      </c>
      <c r="J238" s="65"/>
      <c r="K238" s="65"/>
      <c r="L238" s="65"/>
      <c r="P238" s="319"/>
      <c r="Q238" s="319"/>
      <c r="R238" s="319"/>
    </row>
    <row r="239" spans="1:24" s="54" customFormat="1" x14ac:dyDescent="0.2">
      <c r="A239" s="61"/>
      <c r="B239" s="62"/>
      <c r="C239" s="62"/>
      <c r="D239" s="377" t="s">
        <v>184</v>
      </c>
      <c r="E239" s="377"/>
      <c r="F239" s="377"/>
      <c r="G239" s="377"/>
      <c r="H239" s="157">
        <v>4</v>
      </c>
      <c r="I239" s="66" t="s">
        <v>172</v>
      </c>
      <c r="J239" s="65"/>
      <c r="K239" s="65"/>
      <c r="L239" s="65"/>
      <c r="P239" s="308"/>
      <c r="R239" s="310"/>
    </row>
    <row r="240" spans="1:24" s="54" customFormat="1" x14ac:dyDescent="0.2">
      <c r="A240" s="61"/>
      <c r="B240" s="62"/>
      <c r="C240" s="62"/>
      <c r="D240" s="356" t="s">
        <v>174</v>
      </c>
      <c r="E240" s="356"/>
      <c r="F240" s="356"/>
      <c r="G240" s="356"/>
      <c r="H240" s="155">
        <f>H238*H239</f>
        <v>6</v>
      </c>
      <c r="I240" s="67" t="s">
        <v>7</v>
      </c>
      <c r="J240" s="65"/>
      <c r="K240" s="65"/>
      <c r="L240" s="65"/>
      <c r="P240" s="308"/>
      <c r="R240" s="310"/>
      <c r="T240" s="315" t="s">
        <v>449</v>
      </c>
      <c r="U240" s="54">
        <v>0.5</v>
      </c>
      <c r="V240" s="315" t="s">
        <v>7</v>
      </c>
    </row>
    <row r="241" spans="1:22" s="54" customFormat="1" x14ac:dyDescent="0.2">
      <c r="A241" s="61"/>
      <c r="B241" s="62"/>
      <c r="C241" s="62"/>
      <c r="D241" s="62"/>
      <c r="E241" s="62"/>
      <c r="F241" s="62"/>
      <c r="G241" s="63"/>
      <c r="H241" s="64"/>
      <c r="I241" s="65"/>
      <c r="J241" s="65"/>
      <c r="K241" s="65"/>
      <c r="L241" s="65"/>
      <c r="P241" s="308"/>
      <c r="R241" s="310"/>
      <c r="T241" s="315"/>
      <c r="V241" s="315"/>
    </row>
    <row r="242" spans="1:22" s="54" customFormat="1" x14ac:dyDescent="0.2">
      <c r="A242" s="61"/>
      <c r="B242" s="62"/>
      <c r="C242" s="62"/>
      <c r="D242" s="362" t="s">
        <v>185</v>
      </c>
      <c r="E242" s="362"/>
      <c r="F242" s="362"/>
      <c r="G242" s="362"/>
      <c r="H242" s="362"/>
      <c r="I242" s="362"/>
      <c r="J242" s="65"/>
      <c r="K242" s="65"/>
      <c r="L242" s="65"/>
      <c r="P242" s="308"/>
      <c r="R242" s="310"/>
    </row>
    <row r="243" spans="1:22" s="54" customFormat="1" x14ac:dyDescent="0.2">
      <c r="A243" s="61"/>
      <c r="B243" s="62"/>
      <c r="C243" s="62"/>
      <c r="D243" s="350" t="s">
        <v>44</v>
      </c>
      <c r="E243" s="350"/>
      <c r="F243" s="350"/>
      <c r="G243" s="350"/>
      <c r="H243" s="158">
        <f>H240</f>
        <v>6</v>
      </c>
      <c r="I243" s="73" t="s">
        <v>7</v>
      </c>
      <c r="J243" s="65"/>
      <c r="K243" s="65"/>
      <c r="L243" s="65"/>
      <c r="P243" s="313"/>
      <c r="Q243" s="312"/>
      <c r="R243" s="314"/>
      <c r="S243" s="312"/>
    </row>
    <row r="244" spans="1:22" s="54" customFormat="1" x14ac:dyDescent="0.2">
      <c r="A244" s="61"/>
      <c r="B244" s="62"/>
      <c r="C244" s="62"/>
      <c r="D244" s="377" t="s">
        <v>229</v>
      </c>
      <c r="E244" s="377"/>
      <c r="F244" s="377"/>
      <c r="G244" s="377"/>
      <c r="H244" s="81">
        <v>0.61699999999999999</v>
      </c>
      <c r="I244" s="66" t="s">
        <v>177</v>
      </c>
      <c r="J244" s="65"/>
      <c r="K244" s="65"/>
      <c r="L244" s="65"/>
      <c r="P244" s="308"/>
      <c r="R244" s="310"/>
    </row>
    <row r="245" spans="1:22" s="54" customFormat="1" x14ac:dyDescent="0.2">
      <c r="A245" s="61"/>
      <c r="B245" s="62"/>
      <c r="C245" s="62"/>
      <c r="D245" s="356" t="s">
        <v>186</v>
      </c>
      <c r="E245" s="356"/>
      <c r="F245" s="356"/>
      <c r="G245" s="356"/>
      <c r="H245" s="155">
        <f>H243*H244</f>
        <v>3.702</v>
      </c>
      <c r="I245" s="67" t="s">
        <v>150</v>
      </c>
      <c r="J245" s="65"/>
      <c r="K245" s="65"/>
      <c r="L245" s="65"/>
      <c r="P245" s="308"/>
      <c r="R245" s="310"/>
    </row>
    <row r="246" spans="1:22" s="54" customFormat="1" x14ac:dyDescent="0.2">
      <c r="A246" s="61"/>
      <c r="B246" s="62"/>
      <c r="C246" s="62"/>
      <c r="D246" s="155"/>
      <c r="E246" s="155"/>
      <c r="F246" s="155"/>
      <c r="G246" s="155"/>
      <c r="H246" s="155"/>
      <c r="I246" s="67"/>
      <c r="J246" s="65"/>
      <c r="K246" s="65"/>
      <c r="L246" s="65"/>
      <c r="P246" s="308"/>
      <c r="R246" s="310"/>
      <c r="T246" s="315" t="s">
        <v>448</v>
      </c>
      <c r="U246" s="54">
        <v>0.7</v>
      </c>
      <c r="V246" s="315" t="s">
        <v>7</v>
      </c>
    </row>
    <row r="247" spans="1:22" s="54" customFormat="1" x14ac:dyDescent="0.2">
      <c r="A247" s="61"/>
      <c r="B247" s="62"/>
      <c r="C247" s="62"/>
      <c r="D247" s="362" t="s">
        <v>179</v>
      </c>
      <c r="E247" s="362"/>
      <c r="F247" s="362"/>
      <c r="G247" s="362"/>
      <c r="H247" s="362"/>
      <c r="I247" s="362"/>
      <c r="J247" s="65"/>
      <c r="K247" s="65"/>
      <c r="L247" s="65"/>
      <c r="P247" s="308"/>
      <c r="R247" s="310"/>
    </row>
    <row r="248" spans="1:22" s="54" customFormat="1" x14ac:dyDescent="0.2">
      <c r="A248" s="61"/>
      <c r="B248" s="62"/>
      <c r="C248" s="62"/>
      <c r="D248" s="350" t="s">
        <v>186</v>
      </c>
      <c r="E248" s="350"/>
      <c r="F248" s="350"/>
      <c r="G248" s="350"/>
      <c r="H248" s="158">
        <f>H245</f>
        <v>3.702</v>
      </c>
      <c r="I248" s="73" t="s">
        <v>150</v>
      </c>
      <c r="J248" s="65"/>
      <c r="K248" s="65"/>
      <c r="L248" s="65"/>
      <c r="P248" s="308"/>
      <c r="R248" s="310"/>
    </row>
    <row r="249" spans="1:22" s="54" customFormat="1" x14ac:dyDescent="0.2">
      <c r="A249" s="61"/>
      <c r="B249" s="62"/>
      <c r="C249" s="62"/>
      <c r="D249" s="351" t="s">
        <v>187</v>
      </c>
      <c r="E249" s="351"/>
      <c r="F249" s="351"/>
      <c r="G249" s="351"/>
      <c r="H249" s="157">
        <f>H230</f>
        <v>50</v>
      </c>
      <c r="I249" s="66" t="s">
        <v>188</v>
      </c>
      <c r="J249" s="65"/>
      <c r="K249" s="65"/>
      <c r="L249" s="65"/>
      <c r="P249" s="309"/>
      <c r="R249" s="311"/>
    </row>
    <row r="250" spans="1:22" s="54" customFormat="1" x14ac:dyDescent="0.2">
      <c r="A250" s="61"/>
      <c r="B250" s="62"/>
      <c r="C250" s="62"/>
      <c r="D250" s="356" t="s">
        <v>41</v>
      </c>
      <c r="E250" s="356"/>
      <c r="F250" s="356"/>
      <c r="G250" s="356"/>
      <c r="H250" s="155">
        <f>H248*H249</f>
        <v>185.1</v>
      </c>
      <c r="I250" s="67" t="s">
        <v>150</v>
      </c>
      <c r="J250" s="65"/>
      <c r="K250" s="65"/>
      <c r="L250" s="65"/>
      <c r="O250" s="162"/>
      <c r="P250" s="321">
        <v>0.3</v>
      </c>
      <c r="Q250" s="321"/>
      <c r="R250" s="321">
        <v>0.3</v>
      </c>
    </row>
    <row r="251" spans="1:22" s="54" customFormat="1" x14ac:dyDescent="0.2">
      <c r="A251" s="61"/>
      <c r="B251" s="62"/>
      <c r="C251" s="62"/>
      <c r="D251" s="155"/>
      <c r="E251" s="155"/>
      <c r="F251" s="155"/>
      <c r="G251" s="155"/>
      <c r="H251" s="155"/>
      <c r="I251" s="67"/>
      <c r="J251" s="65"/>
      <c r="K251" s="65"/>
      <c r="L251" s="65"/>
    </row>
    <row r="252" spans="1:22" s="54" customFormat="1" x14ac:dyDescent="0.2">
      <c r="A252" s="61"/>
      <c r="B252" s="62"/>
      <c r="C252" s="62"/>
      <c r="D252" s="356" t="s">
        <v>189</v>
      </c>
      <c r="E252" s="356"/>
      <c r="F252" s="356"/>
      <c r="G252" s="356"/>
      <c r="H252" s="155">
        <f>H250</f>
        <v>185.1</v>
      </c>
      <c r="I252" s="67" t="s">
        <v>150</v>
      </c>
      <c r="J252" s="65"/>
      <c r="K252" s="65"/>
      <c r="L252" s="65"/>
    </row>
    <row r="253" spans="1:22" s="54" customFormat="1" x14ac:dyDescent="0.2">
      <c r="A253" s="61"/>
      <c r="B253" s="62"/>
      <c r="C253" s="62"/>
      <c r="D253" s="155"/>
      <c r="E253" s="155"/>
      <c r="F253" s="155"/>
      <c r="G253" s="155"/>
      <c r="H253" s="155"/>
      <c r="I253" s="67"/>
      <c r="J253" s="65"/>
      <c r="K253" s="65"/>
      <c r="L253" s="65"/>
    </row>
    <row r="254" spans="1:22" s="162" customFormat="1" x14ac:dyDescent="0.2">
      <c r="A254" s="69" t="s">
        <v>307</v>
      </c>
      <c r="B254" s="378" t="s">
        <v>191</v>
      </c>
      <c r="C254" s="379"/>
      <c r="D254" s="379"/>
      <c r="E254" s="379"/>
      <c r="F254" s="379"/>
      <c r="G254" s="379" t="s">
        <v>42</v>
      </c>
      <c r="H254" s="379" t="s">
        <v>10</v>
      </c>
      <c r="I254" s="379"/>
      <c r="J254" s="379"/>
      <c r="K254" s="380">
        <v>0</v>
      </c>
      <c r="L254" s="74" t="s">
        <v>61</v>
      </c>
    </row>
    <row r="255" spans="1:22" s="54" customFormat="1" x14ac:dyDescent="0.2">
      <c r="A255" s="61"/>
      <c r="B255" s="62"/>
      <c r="C255" s="62"/>
      <c r="D255" s="62"/>
      <c r="E255" s="62"/>
      <c r="F255" s="62"/>
      <c r="G255" s="63"/>
      <c r="H255" s="64"/>
      <c r="I255" s="65"/>
      <c r="J255" s="65"/>
      <c r="K255" s="65"/>
      <c r="L255" s="65"/>
    </row>
    <row r="256" spans="1:22" s="54" customFormat="1" x14ac:dyDescent="0.2">
      <c r="A256" s="61"/>
      <c r="B256" s="62"/>
      <c r="C256" s="62"/>
      <c r="D256" s="362" t="s">
        <v>194</v>
      </c>
      <c r="E256" s="362"/>
      <c r="F256" s="362"/>
      <c r="G256" s="362"/>
      <c r="H256" s="362"/>
      <c r="I256" s="362"/>
      <c r="J256" s="65"/>
      <c r="K256" s="65"/>
      <c r="L256" s="65"/>
    </row>
    <row r="257" spans="1:12" s="54" customFormat="1" x14ac:dyDescent="0.2">
      <c r="A257" s="61"/>
      <c r="B257" s="62"/>
      <c r="C257" s="62"/>
      <c r="D257" s="376" t="s">
        <v>45</v>
      </c>
      <c r="E257" s="376"/>
      <c r="F257" s="376"/>
      <c r="G257" s="376"/>
      <c r="H257" s="158">
        <v>0.45</v>
      </c>
      <c r="I257" s="73" t="s">
        <v>7</v>
      </c>
      <c r="J257" s="65"/>
      <c r="K257" s="65"/>
      <c r="L257" s="65"/>
    </row>
    <row r="258" spans="1:12" s="54" customFormat="1" x14ac:dyDescent="0.2">
      <c r="A258" s="61"/>
      <c r="B258" s="62"/>
      <c r="C258" s="62"/>
      <c r="D258" s="350" t="s">
        <v>49</v>
      </c>
      <c r="E258" s="350"/>
      <c r="F258" s="350"/>
      <c r="G258" s="350"/>
      <c r="H258" s="158">
        <v>0.5</v>
      </c>
      <c r="I258" s="73" t="s">
        <v>7</v>
      </c>
      <c r="J258" s="65"/>
      <c r="K258" s="65"/>
      <c r="L258" s="65"/>
    </row>
    <row r="259" spans="1:12" s="54" customFormat="1" x14ac:dyDescent="0.2">
      <c r="A259" s="61"/>
      <c r="B259" s="62"/>
      <c r="C259" s="62"/>
      <c r="D259" s="351" t="s">
        <v>47</v>
      </c>
      <c r="E259" s="351"/>
      <c r="F259" s="351"/>
      <c r="G259" s="351"/>
      <c r="H259" s="157">
        <v>20</v>
      </c>
      <c r="I259" s="66" t="s">
        <v>192</v>
      </c>
      <c r="J259" s="65"/>
      <c r="K259" s="65"/>
      <c r="L259" s="65"/>
    </row>
    <row r="260" spans="1:12" s="54" customFormat="1" x14ac:dyDescent="0.2">
      <c r="A260" s="61"/>
      <c r="B260" s="62"/>
      <c r="C260" s="62"/>
      <c r="D260" s="352" t="s">
        <v>41</v>
      </c>
      <c r="E260" s="352"/>
      <c r="F260" s="356"/>
      <c r="G260" s="356"/>
      <c r="H260" s="155">
        <f>H257*H258*H259</f>
        <v>4.5</v>
      </c>
      <c r="I260" s="67" t="s">
        <v>5</v>
      </c>
      <c r="J260" s="65"/>
      <c r="K260" s="65"/>
      <c r="L260" s="65"/>
    </row>
    <row r="261" spans="1:12" s="54" customFormat="1" ht="12.75" customHeight="1" x14ac:dyDescent="0.2">
      <c r="A261" s="61"/>
      <c r="B261" s="62"/>
      <c r="C261" s="62"/>
      <c r="D261" s="155"/>
      <c r="E261" s="155"/>
      <c r="F261" s="155"/>
      <c r="G261" s="155"/>
      <c r="H261" s="155"/>
      <c r="I261" s="67"/>
      <c r="J261" s="65"/>
      <c r="K261" s="65"/>
      <c r="L261" s="65"/>
    </row>
    <row r="262" spans="1:12" s="162" customFormat="1" ht="25.5" customHeight="1" x14ac:dyDescent="0.2">
      <c r="A262" s="71" t="s">
        <v>308</v>
      </c>
      <c r="B262" s="353" t="s">
        <v>193</v>
      </c>
      <c r="C262" s="354"/>
      <c r="D262" s="354"/>
      <c r="E262" s="354"/>
      <c r="F262" s="354"/>
      <c r="G262" s="354"/>
      <c r="H262" s="354"/>
      <c r="I262" s="354"/>
      <c r="J262" s="354"/>
      <c r="K262" s="355"/>
      <c r="L262" s="161" t="s">
        <v>59</v>
      </c>
    </row>
    <row r="263" spans="1:12" s="54" customFormat="1" ht="12.75" customHeight="1" x14ac:dyDescent="0.2">
      <c r="A263" s="61"/>
      <c r="B263" s="62"/>
      <c r="C263" s="62"/>
      <c r="D263" s="155"/>
      <c r="E263" s="155"/>
      <c r="F263" s="155"/>
      <c r="G263" s="155"/>
      <c r="H263" s="155"/>
      <c r="I263" s="67"/>
      <c r="J263" s="65"/>
      <c r="K263" s="65"/>
      <c r="L263" s="65"/>
    </row>
    <row r="264" spans="1:12" s="54" customFormat="1" ht="12.75" customHeight="1" x14ac:dyDescent="0.2">
      <c r="A264" s="61"/>
      <c r="B264" s="62"/>
      <c r="C264" s="62"/>
      <c r="D264" s="362" t="s">
        <v>417</v>
      </c>
      <c r="E264" s="362"/>
      <c r="F264" s="362"/>
      <c r="G264" s="362"/>
      <c r="H264" s="362"/>
      <c r="I264" s="362"/>
      <c r="J264" s="65"/>
      <c r="K264" s="65"/>
      <c r="L264" s="65"/>
    </row>
    <row r="265" spans="1:12" s="54" customFormat="1" ht="12.75" customHeight="1" x14ac:dyDescent="0.2">
      <c r="A265" s="61"/>
      <c r="B265" s="62"/>
      <c r="C265" s="62"/>
      <c r="D265" s="350" t="s">
        <v>44</v>
      </c>
      <c r="E265" s="350"/>
      <c r="F265" s="350"/>
      <c r="G265" s="350"/>
      <c r="H265" s="158">
        <v>0.25</v>
      </c>
      <c r="I265" s="73" t="s">
        <v>7</v>
      </c>
      <c r="J265" s="65"/>
      <c r="K265" s="65"/>
      <c r="L265" s="65"/>
    </row>
    <row r="266" spans="1:12" s="54" customFormat="1" ht="12.75" customHeight="1" x14ac:dyDescent="0.2">
      <c r="A266" s="61"/>
      <c r="B266" s="62"/>
      <c r="C266" s="62"/>
      <c r="D266" s="376" t="s">
        <v>45</v>
      </c>
      <c r="E266" s="376"/>
      <c r="F266" s="376"/>
      <c r="G266" s="376"/>
      <c r="H266" s="158">
        <v>0.25</v>
      </c>
      <c r="I266" s="73" t="s">
        <v>7</v>
      </c>
      <c r="J266" s="65"/>
      <c r="K266" s="65"/>
      <c r="L266" s="65"/>
    </row>
    <row r="267" spans="1:12" s="54" customFormat="1" ht="12.75" customHeight="1" x14ac:dyDescent="0.2">
      <c r="A267" s="61"/>
      <c r="B267" s="62"/>
      <c r="C267" s="62"/>
      <c r="D267" s="350" t="s">
        <v>196</v>
      </c>
      <c r="E267" s="350"/>
      <c r="F267" s="350"/>
      <c r="G267" s="350"/>
      <c r="H267" s="158">
        <v>0.5</v>
      </c>
      <c r="I267" s="73" t="s">
        <v>7</v>
      </c>
      <c r="J267" s="65"/>
      <c r="K267" s="65"/>
      <c r="L267" s="65"/>
    </row>
    <row r="268" spans="1:12" s="54" customFormat="1" ht="12.75" customHeight="1" x14ac:dyDescent="0.2">
      <c r="A268" s="61"/>
      <c r="B268" s="62"/>
      <c r="C268" s="62"/>
      <c r="D268" s="351" t="s">
        <v>98</v>
      </c>
      <c r="E268" s="351"/>
      <c r="F268" s="351"/>
      <c r="G268" s="351"/>
      <c r="H268" s="157">
        <f>H249</f>
        <v>50</v>
      </c>
      <c r="I268" s="66" t="s">
        <v>48</v>
      </c>
      <c r="J268" s="65"/>
      <c r="K268" s="65"/>
      <c r="L268" s="65"/>
    </row>
    <row r="269" spans="1:12" s="54" customFormat="1" ht="12.75" customHeight="1" x14ac:dyDescent="0.2">
      <c r="A269" s="61"/>
      <c r="B269" s="62"/>
      <c r="C269" s="62"/>
      <c r="D269" s="352" t="s">
        <v>41</v>
      </c>
      <c r="E269" s="352"/>
      <c r="F269" s="356"/>
      <c r="G269" s="356"/>
      <c r="H269" s="155">
        <f>H265*H266*H267*H268</f>
        <v>1.5625</v>
      </c>
      <c r="I269" s="67" t="s">
        <v>6</v>
      </c>
      <c r="J269" s="65"/>
      <c r="K269" s="65"/>
      <c r="L269" s="65"/>
    </row>
    <row r="270" spans="1:12" s="54" customFormat="1" ht="12.75" customHeight="1" x14ac:dyDescent="0.2">
      <c r="A270" s="61"/>
      <c r="B270" s="62"/>
      <c r="C270" s="62"/>
      <c r="D270" s="155"/>
      <c r="E270" s="155"/>
      <c r="F270" s="155"/>
      <c r="G270" s="155"/>
      <c r="H270" s="155"/>
      <c r="I270" s="67"/>
      <c r="J270" s="65"/>
      <c r="K270" s="65"/>
      <c r="L270" s="65"/>
    </row>
    <row r="271" spans="1:12" s="54" customFormat="1" ht="15" customHeight="1" x14ac:dyDescent="0.2">
      <c r="A271" s="58" t="s">
        <v>139</v>
      </c>
      <c r="B271" s="357" t="s">
        <v>197</v>
      </c>
      <c r="C271" s="358"/>
      <c r="D271" s="358"/>
      <c r="E271" s="358"/>
      <c r="F271" s="358"/>
      <c r="G271" s="358" t="s">
        <v>17</v>
      </c>
      <c r="H271" s="358"/>
      <c r="I271" s="358"/>
      <c r="J271" s="358"/>
      <c r="K271" s="358"/>
      <c r="L271" s="358">
        <v>0</v>
      </c>
    </row>
    <row r="272" spans="1:12" s="54" customFormat="1" ht="26.1" customHeight="1" x14ac:dyDescent="0.2">
      <c r="A272" s="59" t="s">
        <v>102</v>
      </c>
      <c r="B272" s="363" t="s">
        <v>349</v>
      </c>
      <c r="C272" s="364"/>
      <c r="D272" s="364"/>
      <c r="E272" s="364"/>
      <c r="F272" s="364"/>
      <c r="G272" s="364" t="s">
        <v>42</v>
      </c>
      <c r="H272" s="364" t="s">
        <v>10</v>
      </c>
      <c r="I272" s="364"/>
      <c r="J272" s="364"/>
      <c r="K272" s="365">
        <v>0</v>
      </c>
      <c r="L272" s="60" t="s">
        <v>61</v>
      </c>
    </row>
    <row r="273" spans="1:12" s="54" customFormat="1" x14ac:dyDescent="0.2">
      <c r="A273" s="61"/>
      <c r="B273" s="62"/>
      <c r="C273" s="62"/>
      <c r="D273" s="62"/>
      <c r="E273" s="62"/>
      <c r="F273" s="62"/>
      <c r="G273" s="63"/>
      <c r="H273" s="64"/>
      <c r="I273" s="65"/>
      <c r="J273" s="65"/>
      <c r="K273" s="65"/>
      <c r="L273" s="65"/>
    </row>
    <row r="274" spans="1:12" s="54" customFormat="1" x14ac:dyDescent="0.2">
      <c r="A274" s="61"/>
      <c r="B274" s="62"/>
      <c r="C274" s="62"/>
      <c r="D274" s="362" t="s">
        <v>203</v>
      </c>
      <c r="E274" s="362"/>
      <c r="F274" s="362"/>
      <c r="G274" s="362"/>
      <c r="H274" s="362"/>
      <c r="I274" s="362"/>
      <c r="J274" s="65"/>
      <c r="K274" s="65"/>
      <c r="L274" s="65"/>
    </row>
    <row r="275" spans="1:12" s="54" customFormat="1" x14ac:dyDescent="0.2">
      <c r="A275" s="61"/>
      <c r="B275" s="62"/>
      <c r="C275" s="62"/>
      <c r="D275" s="350" t="s">
        <v>198</v>
      </c>
      <c r="E275" s="350"/>
      <c r="F275" s="350"/>
      <c r="G275" s="350"/>
      <c r="H275" s="158">
        <f>H155</f>
        <v>32</v>
      </c>
      <c r="I275" s="73" t="s">
        <v>7</v>
      </c>
      <c r="J275" s="65"/>
      <c r="K275" s="65"/>
      <c r="L275" s="65"/>
    </row>
    <row r="276" spans="1:12" s="54" customFormat="1" x14ac:dyDescent="0.2">
      <c r="A276" s="61"/>
      <c r="B276" s="62"/>
      <c r="C276" s="62"/>
      <c r="D276" s="350" t="s">
        <v>199</v>
      </c>
      <c r="E276" s="350"/>
      <c r="F276" s="350"/>
      <c r="G276" s="350"/>
      <c r="H276" s="158">
        <f>H156</f>
        <v>41</v>
      </c>
      <c r="I276" s="73" t="s">
        <v>7</v>
      </c>
      <c r="J276" s="65"/>
      <c r="K276" s="65"/>
      <c r="L276" s="65"/>
    </row>
    <row r="277" spans="1:12" s="54" customFormat="1" x14ac:dyDescent="0.2">
      <c r="A277" s="61"/>
      <c r="B277" s="62"/>
      <c r="C277" s="62"/>
      <c r="D277" s="376" t="s">
        <v>200</v>
      </c>
      <c r="E277" s="376"/>
      <c r="F277" s="376"/>
      <c r="G277" s="376"/>
      <c r="H277" s="158">
        <f>H275</f>
        <v>32</v>
      </c>
      <c r="I277" s="73" t="s">
        <v>7</v>
      </c>
      <c r="J277" s="65"/>
      <c r="K277" s="65"/>
      <c r="L277" s="65"/>
    </row>
    <row r="278" spans="1:12" s="54" customFormat="1" x14ac:dyDescent="0.2">
      <c r="A278" s="61"/>
      <c r="B278" s="62"/>
      <c r="C278" s="62"/>
      <c r="D278" s="377" t="s">
        <v>201</v>
      </c>
      <c r="E278" s="377"/>
      <c r="F278" s="377"/>
      <c r="G278" s="377"/>
      <c r="H278" s="157">
        <f>H276</f>
        <v>41</v>
      </c>
      <c r="I278" s="66" t="s">
        <v>7</v>
      </c>
      <c r="J278" s="65"/>
      <c r="K278" s="65"/>
      <c r="L278" s="65"/>
    </row>
    <row r="279" spans="1:12" s="54" customFormat="1" x14ac:dyDescent="0.2">
      <c r="A279" s="61"/>
      <c r="B279" s="62"/>
      <c r="C279" s="62"/>
      <c r="D279" s="350" t="s">
        <v>202</v>
      </c>
      <c r="E279" s="350"/>
      <c r="F279" s="350"/>
      <c r="G279" s="350"/>
      <c r="H279" s="158">
        <f>H275+H276+H277+H278</f>
        <v>146</v>
      </c>
      <c r="I279" s="73" t="s">
        <v>7</v>
      </c>
      <c r="J279" s="65"/>
      <c r="K279" s="65"/>
      <c r="L279" s="65"/>
    </row>
    <row r="280" spans="1:12" s="54" customFormat="1" x14ac:dyDescent="0.2">
      <c r="A280" s="61"/>
      <c r="B280" s="62"/>
      <c r="C280" s="62"/>
      <c r="D280" s="351" t="s">
        <v>196</v>
      </c>
      <c r="E280" s="351"/>
      <c r="F280" s="351"/>
      <c r="G280" s="351"/>
      <c r="H280" s="157">
        <v>0.5</v>
      </c>
      <c r="I280" s="66" t="s">
        <v>7</v>
      </c>
      <c r="J280" s="65"/>
      <c r="K280" s="65"/>
      <c r="L280" s="65"/>
    </row>
    <row r="281" spans="1:12" s="54" customFormat="1" x14ac:dyDescent="0.2">
      <c r="A281" s="61"/>
      <c r="B281" s="62"/>
      <c r="C281" s="62"/>
      <c r="D281" s="356" t="s">
        <v>205</v>
      </c>
      <c r="E281" s="356"/>
      <c r="F281" s="356"/>
      <c r="G281" s="356"/>
      <c r="H281" s="155">
        <f>H279*H280</f>
        <v>73</v>
      </c>
      <c r="I281" s="67" t="s">
        <v>5</v>
      </c>
      <c r="J281" s="65"/>
      <c r="K281" s="65"/>
      <c r="L281" s="65"/>
    </row>
    <row r="282" spans="1:12" s="54" customFormat="1" x14ac:dyDescent="0.2">
      <c r="A282" s="61"/>
      <c r="B282" s="62"/>
      <c r="C282" s="62"/>
      <c r="D282" s="62"/>
      <c r="E282" s="62"/>
      <c r="F282" s="62"/>
      <c r="G282" s="63"/>
      <c r="H282" s="64"/>
      <c r="I282" s="65"/>
      <c r="J282" s="65"/>
      <c r="K282" s="65"/>
      <c r="L282" s="65"/>
    </row>
    <row r="283" spans="1:12" s="54" customFormat="1" ht="15" customHeight="1" x14ac:dyDescent="0.2">
      <c r="A283" s="58" t="s">
        <v>143</v>
      </c>
      <c r="B283" s="357" t="s">
        <v>152</v>
      </c>
      <c r="C283" s="358"/>
      <c r="D283" s="358"/>
      <c r="E283" s="358"/>
      <c r="F283" s="358"/>
      <c r="G283" s="358" t="s">
        <v>17</v>
      </c>
      <c r="H283" s="358"/>
      <c r="I283" s="358"/>
      <c r="J283" s="358"/>
      <c r="K283" s="358"/>
      <c r="L283" s="358">
        <v>0</v>
      </c>
    </row>
    <row r="284" spans="1:12" s="54" customFormat="1" ht="12.75" customHeight="1" x14ac:dyDescent="0.2">
      <c r="A284" s="71" t="s">
        <v>123</v>
      </c>
      <c r="B284" s="359" t="s">
        <v>469</v>
      </c>
      <c r="C284" s="360"/>
      <c r="D284" s="360"/>
      <c r="E284" s="360"/>
      <c r="F284" s="360"/>
      <c r="G284" s="360" t="s">
        <v>42</v>
      </c>
      <c r="H284" s="360" t="s">
        <v>10</v>
      </c>
      <c r="I284" s="360"/>
      <c r="J284" s="360"/>
      <c r="K284" s="361">
        <v>0</v>
      </c>
      <c r="L284" s="72" t="s">
        <v>61</v>
      </c>
    </row>
    <row r="285" spans="1:12" s="54" customFormat="1" x14ac:dyDescent="0.2">
      <c r="A285" s="61"/>
      <c r="B285" s="62"/>
      <c r="C285" s="62"/>
      <c r="D285" s="62"/>
      <c r="E285" s="62"/>
      <c r="F285" s="62"/>
      <c r="G285" s="63"/>
      <c r="H285" s="64"/>
      <c r="I285" s="65"/>
      <c r="J285" s="65"/>
      <c r="K285" s="65"/>
      <c r="L285" s="65"/>
    </row>
    <row r="286" spans="1:12" s="54" customFormat="1" x14ac:dyDescent="0.2">
      <c r="A286" s="61"/>
      <c r="B286" s="62"/>
      <c r="C286" s="62"/>
      <c r="D286" s="362" t="s">
        <v>204</v>
      </c>
      <c r="E286" s="362"/>
      <c r="F286" s="362"/>
      <c r="G286" s="362"/>
      <c r="H286" s="362"/>
      <c r="I286" s="362"/>
      <c r="J286" s="65"/>
      <c r="K286" s="65"/>
      <c r="L286" s="65"/>
    </row>
    <row r="287" spans="1:12" s="54" customFormat="1" x14ac:dyDescent="0.2">
      <c r="A287" s="61"/>
      <c r="B287" s="62"/>
      <c r="C287" s="62"/>
      <c r="D287" s="350" t="str">
        <f>D281</f>
        <v>Total da alvenaria =</v>
      </c>
      <c r="E287" s="350"/>
      <c r="F287" s="350"/>
      <c r="G287" s="350"/>
      <c r="H287" s="158">
        <f>H281</f>
        <v>73</v>
      </c>
      <c r="I287" s="73" t="str">
        <f>I281</f>
        <v>m²</v>
      </c>
      <c r="J287" s="65"/>
      <c r="K287" s="65"/>
      <c r="L287" s="65"/>
    </row>
    <row r="288" spans="1:12" s="54" customFormat="1" x14ac:dyDescent="0.2">
      <c r="A288" s="61"/>
      <c r="B288" s="62"/>
      <c r="C288" s="62"/>
      <c r="D288" s="351" t="s">
        <v>207</v>
      </c>
      <c r="E288" s="351"/>
      <c r="F288" s="351"/>
      <c r="G288" s="351"/>
      <c r="H288" s="157">
        <v>2</v>
      </c>
      <c r="I288" s="66" t="s">
        <v>206</v>
      </c>
      <c r="J288" s="65"/>
      <c r="K288" s="65"/>
      <c r="L288" s="65"/>
    </row>
    <row r="289" spans="1:12" s="54" customFormat="1" x14ac:dyDescent="0.2">
      <c r="A289" s="61"/>
      <c r="B289" s="62"/>
      <c r="C289" s="62"/>
      <c r="D289" s="356" t="s">
        <v>99</v>
      </c>
      <c r="E289" s="356"/>
      <c r="F289" s="356"/>
      <c r="G289" s="356"/>
      <c r="H289" s="155">
        <f>H287*H288</f>
        <v>146</v>
      </c>
      <c r="I289" s="67" t="s">
        <v>5</v>
      </c>
      <c r="J289" s="65"/>
      <c r="K289" s="65"/>
      <c r="L289" s="65"/>
    </row>
    <row r="290" spans="1:12" s="54" customFormat="1" x14ac:dyDescent="0.2">
      <c r="A290" s="61"/>
      <c r="B290" s="62"/>
      <c r="C290" s="62"/>
      <c r="D290" s="155"/>
      <c r="E290" s="155"/>
      <c r="F290" s="155"/>
      <c r="G290" s="155"/>
      <c r="H290" s="155"/>
      <c r="I290" s="67"/>
      <c r="J290" s="65"/>
      <c r="K290" s="65"/>
      <c r="L290" s="65"/>
    </row>
    <row r="291" spans="1:12" s="54" customFormat="1" x14ac:dyDescent="0.2">
      <c r="A291" s="58" t="s">
        <v>145</v>
      </c>
      <c r="B291" s="357" t="s">
        <v>128</v>
      </c>
      <c r="C291" s="358"/>
      <c r="D291" s="358"/>
      <c r="E291" s="358"/>
      <c r="F291" s="358"/>
      <c r="G291" s="358" t="s">
        <v>43</v>
      </c>
      <c r="H291" s="358"/>
      <c r="I291" s="358"/>
      <c r="J291" s="358"/>
      <c r="K291" s="358"/>
      <c r="L291" s="358" t="e">
        <f>SUM(#REF!)</f>
        <v>#REF!</v>
      </c>
    </row>
    <row r="292" spans="1:12" s="54" customFormat="1" ht="26.1" customHeight="1" x14ac:dyDescent="0.2">
      <c r="A292" s="59" t="s">
        <v>129</v>
      </c>
      <c r="B292" s="363" t="s">
        <v>456</v>
      </c>
      <c r="C292" s="364"/>
      <c r="D292" s="364"/>
      <c r="E292" s="364"/>
      <c r="F292" s="364"/>
      <c r="G292" s="364"/>
      <c r="H292" s="364"/>
      <c r="I292" s="364"/>
      <c r="J292" s="364"/>
      <c r="K292" s="365"/>
      <c r="L292" s="60" t="s">
        <v>61</v>
      </c>
    </row>
    <row r="293" spans="1:12" s="54" customFormat="1" x14ac:dyDescent="0.2">
      <c r="A293" s="61"/>
      <c r="B293" s="62"/>
      <c r="C293" s="62"/>
      <c r="D293" s="62"/>
      <c r="E293" s="62"/>
      <c r="F293" s="62"/>
      <c r="G293" s="63"/>
      <c r="H293" s="64"/>
      <c r="I293" s="65"/>
      <c r="J293" s="65"/>
      <c r="K293" s="65"/>
      <c r="L293" s="65"/>
    </row>
    <row r="294" spans="1:12" s="54" customFormat="1" x14ac:dyDescent="0.2">
      <c r="A294" s="61"/>
      <c r="B294" s="62"/>
      <c r="C294" s="62"/>
      <c r="D294" s="362" t="s">
        <v>210</v>
      </c>
      <c r="E294" s="362"/>
      <c r="F294" s="362"/>
      <c r="G294" s="362"/>
      <c r="H294" s="362"/>
      <c r="I294" s="362"/>
      <c r="J294" s="65"/>
      <c r="K294" s="65"/>
      <c r="L294" s="65"/>
    </row>
    <row r="295" spans="1:12" s="54" customFormat="1" x14ac:dyDescent="0.2">
      <c r="A295" s="61"/>
      <c r="B295" s="62"/>
      <c r="C295" s="62"/>
      <c r="D295" s="350" t="str">
        <f>D281</f>
        <v>Total da alvenaria =</v>
      </c>
      <c r="E295" s="350"/>
      <c r="F295" s="350"/>
      <c r="G295" s="350"/>
      <c r="H295" s="158">
        <f>H287</f>
        <v>73</v>
      </c>
      <c r="I295" s="73" t="str">
        <f>I289</f>
        <v>m²</v>
      </c>
      <c r="J295" s="65"/>
      <c r="K295" s="65"/>
      <c r="L295" s="65"/>
    </row>
    <row r="296" spans="1:12" s="54" customFormat="1" x14ac:dyDescent="0.2">
      <c r="A296" s="61"/>
      <c r="B296" s="62"/>
      <c r="C296" s="62"/>
      <c r="D296" s="351" t="s">
        <v>207</v>
      </c>
      <c r="E296" s="351"/>
      <c r="F296" s="351"/>
      <c r="G296" s="351"/>
      <c r="H296" s="157">
        <v>2</v>
      </c>
      <c r="I296" s="66" t="s">
        <v>206</v>
      </c>
      <c r="J296" s="65"/>
      <c r="K296" s="65"/>
      <c r="L296" s="65"/>
    </row>
    <row r="297" spans="1:12" s="54" customFormat="1" x14ac:dyDescent="0.2">
      <c r="A297" s="61"/>
      <c r="B297" s="62"/>
      <c r="C297" s="62"/>
      <c r="D297" s="356" t="s">
        <v>99</v>
      </c>
      <c r="E297" s="356"/>
      <c r="F297" s="356"/>
      <c r="G297" s="356"/>
      <c r="H297" s="155">
        <f>H295*H296</f>
        <v>146</v>
      </c>
      <c r="I297" s="67" t="str">
        <f>I289</f>
        <v>m²</v>
      </c>
      <c r="J297" s="65"/>
      <c r="K297" s="65"/>
      <c r="L297" s="65"/>
    </row>
    <row r="298" spans="1:12" s="54" customFormat="1" x14ac:dyDescent="0.2">
      <c r="A298" s="61"/>
      <c r="B298" s="62"/>
      <c r="C298" s="62"/>
      <c r="D298" s="155"/>
      <c r="E298" s="155"/>
      <c r="F298" s="155"/>
      <c r="G298" s="155"/>
      <c r="H298" s="155"/>
      <c r="I298" s="67"/>
      <c r="J298" s="65"/>
      <c r="K298" s="65"/>
      <c r="L298" s="65"/>
    </row>
    <row r="299" spans="1:12" s="54" customFormat="1" ht="25.5" customHeight="1" x14ac:dyDescent="0.2">
      <c r="A299" s="69" t="s">
        <v>134</v>
      </c>
      <c r="B299" s="366" t="s">
        <v>496</v>
      </c>
      <c r="C299" s="367"/>
      <c r="D299" s="367"/>
      <c r="E299" s="367"/>
      <c r="F299" s="367"/>
      <c r="G299" s="367"/>
      <c r="H299" s="367"/>
      <c r="I299" s="367"/>
      <c r="J299" s="367"/>
      <c r="K299" s="368"/>
      <c r="L299" s="74" t="s">
        <v>61</v>
      </c>
    </row>
    <row r="300" spans="1:12" s="54" customFormat="1" x14ac:dyDescent="0.2">
      <c r="A300" s="61"/>
      <c r="B300" s="62"/>
      <c r="C300" s="62"/>
      <c r="D300" s="62"/>
      <c r="E300" s="62"/>
      <c r="F300" s="62"/>
      <c r="G300" s="63"/>
      <c r="H300" s="64"/>
      <c r="I300" s="65"/>
      <c r="J300" s="65"/>
      <c r="K300" s="65"/>
      <c r="L300" s="65"/>
    </row>
    <row r="301" spans="1:12" s="54" customFormat="1" x14ac:dyDescent="0.2">
      <c r="A301" s="61"/>
      <c r="B301" s="62"/>
      <c r="C301" s="62"/>
      <c r="D301" s="362" t="s">
        <v>211</v>
      </c>
      <c r="E301" s="362"/>
      <c r="F301" s="362"/>
      <c r="G301" s="362"/>
      <c r="H301" s="362"/>
      <c r="I301" s="362"/>
      <c r="J301" s="65"/>
      <c r="K301" s="65"/>
      <c r="L301" s="65"/>
    </row>
    <row r="302" spans="1:12" s="54" customFormat="1" x14ac:dyDescent="0.2">
      <c r="A302" s="61"/>
      <c r="B302" s="62"/>
      <c r="C302" s="62"/>
      <c r="D302" s="350" t="str">
        <f>D296</f>
        <v>Pintura nas duas faces =</v>
      </c>
      <c r="E302" s="350"/>
      <c r="F302" s="350"/>
      <c r="G302" s="350"/>
      <c r="H302" s="158">
        <f>H287</f>
        <v>73</v>
      </c>
      <c r="I302" s="73" t="str">
        <f>I287</f>
        <v>m²</v>
      </c>
      <c r="J302" s="65"/>
      <c r="K302" s="65"/>
      <c r="L302" s="65"/>
    </row>
    <row r="303" spans="1:12" s="54" customFormat="1" x14ac:dyDescent="0.2">
      <c r="A303" s="61"/>
      <c r="B303" s="62"/>
      <c r="C303" s="62"/>
      <c r="D303" s="351" t="s">
        <v>207</v>
      </c>
      <c r="E303" s="351"/>
      <c r="F303" s="351"/>
      <c r="G303" s="351"/>
      <c r="H303" s="157">
        <f>H288</f>
        <v>2</v>
      </c>
      <c r="I303" s="66" t="str">
        <f>I288</f>
        <v>faces</v>
      </c>
      <c r="J303" s="65"/>
      <c r="K303" s="65"/>
      <c r="L303" s="65"/>
    </row>
    <row r="304" spans="1:12" s="54" customFormat="1" x14ac:dyDescent="0.2">
      <c r="A304" s="61"/>
      <c r="B304" s="62"/>
      <c r="C304" s="62"/>
      <c r="D304" s="356" t="s">
        <v>99</v>
      </c>
      <c r="E304" s="356"/>
      <c r="F304" s="356"/>
      <c r="G304" s="356"/>
      <c r="H304" s="155">
        <f>H302*H303</f>
        <v>146</v>
      </c>
      <c r="I304" s="67" t="str">
        <f>I289</f>
        <v>m²</v>
      </c>
      <c r="J304" s="65"/>
      <c r="K304" s="65"/>
      <c r="L304" s="65"/>
    </row>
    <row r="305" spans="1:12" s="54" customFormat="1" x14ac:dyDescent="0.2">
      <c r="A305" s="61"/>
      <c r="B305" s="62"/>
      <c r="C305" s="62"/>
      <c r="D305" s="155"/>
      <c r="E305" s="155"/>
      <c r="F305" s="155"/>
      <c r="G305" s="155"/>
      <c r="H305" s="155"/>
      <c r="I305" s="67"/>
      <c r="J305" s="65"/>
      <c r="K305" s="65"/>
      <c r="L305" s="65"/>
    </row>
    <row r="306" spans="1:12" s="162" customFormat="1" ht="25.5" customHeight="1" x14ac:dyDescent="0.2">
      <c r="A306" s="71" t="s">
        <v>137</v>
      </c>
      <c r="B306" s="353" t="s">
        <v>471</v>
      </c>
      <c r="C306" s="354"/>
      <c r="D306" s="354"/>
      <c r="E306" s="354"/>
      <c r="F306" s="354"/>
      <c r="G306" s="354" t="s">
        <v>42</v>
      </c>
      <c r="H306" s="354" t="s">
        <v>10</v>
      </c>
      <c r="I306" s="354"/>
      <c r="J306" s="354"/>
      <c r="K306" s="355">
        <v>0</v>
      </c>
      <c r="L306" s="161" t="s">
        <v>59</v>
      </c>
    </row>
    <row r="307" spans="1:12" s="162" customFormat="1" x14ac:dyDescent="0.2">
      <c r="A307" s="61"/>
      <c r="B307" s="62"/>
      <c r="C307" s="62"/>
      <c r="D307" s="62"/>
      <c r="E307" s="62"/>
      <c r="F307" s="62"/>
      <c r="G307" s="63"/>
      <c r="H307" s="64"/>
      <c r="I307" s="65"/>
      <c r="J307" s="65"/>
      <c r="K307" s="65"/>
      <c r="L307" s="65"/>
    </row>
    <row r="308" spans="1:12" s="162" customFormat="1" x14ac:dyDescent="0.2">
      <c r="A308" s="61"/>
      <c r="B308" s="62"/>
      <c r="C308" s="62"/>
      <c r="D308" s="362" t="s">
        <v>340</v>
      </c>
      <c r="E308" s="362"/>
      <c r="F308" s="362"/>
      <c r="G308" s="362"/>
      <c r="H308" s="362"/>
      <c r="I308" s="362"/>
      <c r="J308" s="65"/>
      <c r="K308" s="65"/>
      <c r="L308" s="65"/>
    </row>
    <row r="309" spans="1:12" s="162" customFormat="1" x14ac:dyDescent="0.2">
      <c r="A309" s="61"/>
      <c r="B309" s="62"/>
      <c r="C309" s="62"/>
      <c r="D309" s="350" t="s">
        <v>297</v>
      </c>
      <c r="E309" s="350"/>
      <c r="F309" s="350"/>
      <c r="G309" s="350"/>
      <c r="H309" s="158">
        <v>0.3</v>
      </c>
      <c r="I309" s="73" t="s">
        <v>7</v>
      </c>
      <c r="J309" s="65"/>
      <c r="K309" s="65"/>
      <c r="L309" s="65"/>
    </row>
    <row r="310" spans="1:12" s="162" customFormat="1" x14ac:dyDescent="0.2">
      <c r="A310" s="61"/>
      <c r="B310" s="62"/>
      <c r="C310" s="62"/>
      <c r="D310" s="350" t="str">
        <f>D265</f>
        <v>Comprimento =</v>
      </c>
      <c r="E310" s="350"/>
      <c r="F310" s="350"/>
      <c r="G310" s="350"/>
      <c r="H310" s="158">
        <f>H168</f>
        <v>32</v>
      </c>
      <c r="I310" s="73" t="s">
        <v>7</v>
      </c>
      <c r="J310" s="65"/>
      <c r="K310" s="65"/>
      <c r="L310" s="65"/>
    </row>
    <row r="311" spans="1:12" s="162" customFormat="1" x14ac:dyDescent="0.2">
      <c r="A311" s="61"/>
      <c r="B311" s="62"/>
      <c r="C311" s="62"/>
      <c r="D311" s="350" t="str">
        <f>D266</f>
        <v>Largura =</v>
      </c>
      <c r="E311" s="350"/>
      <c r="F311" s="350"/>
      <c r="G311" s="350"/>
      <c r="H311" s="157">
        <f>H169</f>
        <v>41</v>
      </c>
      <c r="I311" s="66" t="s">
        <v>7</v>
      </c>
      <c r="J311" s="65"/>
      <c r="K311" s="65"/>
      <c r="L311" s="65"/>
    </row>
    <row r="312" spans="1:12" s="162" customFormat="1" x14ac:dyDescent="0.2">
      <c r="A312" s="61"/>
      <c r="B312" s="62"/>
      <c r="C312" s="62"/>
      <c r="D312" s="352" t="s">
        <v>41</v>
      </c>
      <c r="E312" s="352"/>
      <c r="F312" s="352"/>
      <c r="G312" s="352"/>
      <c r="H312" s="155">
        <f>H309*H310*H311</f>
        <v>393.59999999999997</v>
      </c>
      <c r="I312" s="67" t="s">
        <v>6</v>
      </c>
      <c r="J312" s="65"/>
      <c r="K312" s="65"/>
      <c r="L312" s="65"/>
    </row>
    <row r="313" spans="1:12" s="54" customFormat="1" x14ac:dyDescent="0.2">
      <c r="A313" s="61"/>
      <c r="B313" s="62"/>
      <c r="C313" s="62"/>
      <c r="D313" s="155"/>
      <c r="E313" s="155"/>
      <c r="F313" s="155"/>
      <c r="G313" s="155"/>
      <c r="H313" s="155"/>
      <c r="I313" s="67"/>
      <c r="J313" s="65"/>
      <c r="K313" s="65"/>
      <c r="L313" s="65"/>
    </row>
    <row r="314" spans="1:12" s="54" customFormat="1" ht="15" customHeight="1" x14ac:dyDescent="0.2">
      <c r="A314" s="58" t="s">
        <v>138</v>
      </c>
      <c r="B314" s="357" t="s">
        <v>125</v>
      </c>
      <c r="C314" s="358"/>
      <c r="D314" s="358"/>
      <c r="E314" s="358"/>
      <c r="F314" s="358"/>
      <c r="G314" s="358" t="s">
        <v>17</v>
      </c>
      <c r="H314" s="358"/>
      <c r="I314" s="358"/>
      <c r="J314" s="358"/>
      <c r="K314" s="358"/>
      <c r="L314" s="358">
        <f>SUM(L315:L328)</f>
        <v>0</v>
      </c>
    </row>
    <row r="315" spans="1:12" s="54" customFormat="1" ht="12.95" customHeight="1" x14ac:dyDescent="0.2">
      <c r="A315" s="71" t="s">
        <v>130</v>
      </c>
      <c r="B315" s="359" t="s">
        <v>497</v>
      </c>
      <c r="C315" s="360"/>
      <c r="D315" s="360"/>
      <c r="E315" s="360"/>
      <c r="F315" s="360"/>
      <c r="G315" s="360" t="s">
        <v>42</v>
      </c>
      <c r="H315" s="360" t="s">
        <v>10</v>
      </c>
      <c r="I315" s="360"/>
      <c r="J315" s="360"/>
      <c r="K315" s="361">
        <v>0</v>
      </c>
      <c r="L315" s="72" t="s">
        <v>61</v>
      </c>
    </row>
    <row r="316" spans="1:12" s="54" customFormat="1" x14ac:dyDescent="0.2">
      <c r="A316" s="61"/>
      <c r="B316" s="62"/>
      <c r="C316" s="62"/>
      <c r="D316" s="62"/>
      <c r="E316" s="62"/>
      <c r="F316" s="62"/>
      <c r="G316" s="63"/>
      <c r="H316" s="64"/>
      <c r="I316" s="65"/>
      <c r="J316" s="65"/>
      <c r="K316" s="65"/>
      <c r="L316" s="65"/>
    </row>
    <row r="317" spans="1:12" s="54" customFormat="1" x14ac:dyDescent="0.2">
      <c r="A317" s="61"/>
      <c r="B317" s="62"/>
      <c r="C317" s="62"/>
      <c r="D317" s="362" t="s">
        <v>213</v>
      </c>
      <c r="E317" s="362"/>
      <c r="F317" s="362"/>
      <c r="G317" s="362"/>
      <c r="H317" s="362"/>
      <c r="I317" s="362"/>
      <c r="J317" s="65"/>
      <c r="K317" s="65"/>
      <c r="L317" s="65"/>
    </row>
    <row r="318" spans="1:12" s="54" customFormat="1" x14ac:dyDescent="0.2">
      <c r="A318" s="61"/>
      <c r="B318" s="62"/>
      <c r="C318" s="62"/>
      <c r="D318" s="350" t="str">
        <f>D304</f>
        <v>Total da fundação =</v>
      </c>
      <c r="E318" s="350"/>
      <c r="F318" s="350"/>
      <c r="G318" s="350"/>
      <c r="H318" s="158">
        <f>H295</f>
        <v>73</v>
      </c>
      <c r="I318" s="73" t="str">
        <f>I312</f>
        <v>m³</v>
      </c>
      <c r="J318" s="65"/>
      <c r="K318" s="65"/>
      <c r="L318" s="65"/>
    </row>
    <row r="319" spans="1:12" s="54" customFormat="1" x14ac:dyDescent="0.2">
      <c r="A319" s="61"/>
      <c r="B319" s="62"/>
      <c r="C319" s="62"/>
      <c r="D319" s="351" t="s">
        <v>207</v>
      </c>
      <c r="E319" s="351"/>
      <c r="F319" s="351"/>
      <c r="G319" s="351"/>
      <c r="H319" s="157">
        <v>2</v>
      </c>
      <c r="I319" s="66" t="s">
        <v>206</v>
      </c>
      <c r="J319" s="65"/>
      <c r="K319" s="65"/>
      <c r="L319" s="65"/>
    </row>
    <row r="320" spans="1:12" s="54" customFormat="1" x14ac:dyDescent="0.2">
      <c r="A320" s="61"/>
      <c r="B320" s="62"/>
      <c r="C320" s="62"/>
      <c r="D320" s="352" t="s">
        <v>41</v>
      </c>
      <c r="E320" s="352"/>
      <c r="F320" s="352"/>
      <c r="G320" s="352"/>
      <c r="H320" s="155">
        <f>H318*H319</f>
        <v>146</v>
      </c>
      <c r="I320" s="67" t="str">
        <f>I312</f>
        <v>m³</v>
      </c>
      <c r="J320" s="65"/>
      <c r="K320" s="65"/>
      <c r="L320" s="65"/>
    </row>
    <row r="321" spans="1:12" s="54" customFormat="1" x14ac:dyDescent="0.2">
      <c r="A321" s="61"/>
      <c r="B321" s="62"/>
      <c r="C321" s="62"/>
      <c r="D321" s="155"/>
      <c r="E321" s="155"/>
      <c r="F321" s="155"/>
      <c r="G321" s="155"/>
      <c r="H321" s="155"/>
      <c r="I321" s="67"/>
      <c r="J321" s="65"/>
      <c r="K321" s="65"/>
      <c r="L321" s="65"/>
    </row>
    <row r="322" spans="1:12" s="54" customFormat="1" ht="26.1" customHeight="1" x14ac:dyDescent="0.2">
      <c r="A322" s="69" t="s">
        <v>133</v>
      </c>
      <c r="B322" s="369" t="s">
        <v>498</v>
      </c>
      <c r="C322" s="370"/>
      <c r="D322" s="370"/>
      <c r="E322" s="370"/>
      <c r="F322" s="370"/>
      <c r="G322" s="370"/>
      <c r="H322" s="370"/>
      <c r="I322" s="370"/>
      <c r="J322" s="370"/>
      <c r="K322" s="371"/>
      <c r="L322" s="74" t="s">
        <v>61</v>
      </c>
    </row>
    <row r="323" spans="1:12" s="54" customFormat="1" x14ac:dyDescent="0.2">
      <c r="A323" s="61"/>
      <c r="B323" s="62"/>
      <c r="C323" s="62"/>
      <c r="D323" s="62"/>
      <c r="E323" s="62"/>
      <c r="F323" s="62"/>
      <c r="G323" s="63"/>
      <c r="H323" s="64"/>
      <c r="I323" s="65"/>
      <c r="J323" s="65"/>
      <c r="K323" s="65"/>
      <c r="L323" s="65"/>
    </row>
    <row r="324" spans="1:12" s="54" customFormat="1" x14ac:dyDescent="0.2">
      <c r="A324" s="61"/>
      <c r="B324" s="62"/>
      <c r="C324" s="62"/>
      <c r="D324" s="362" t="s">
        <v>212</v>
      </c>
      <c r="E324" s="362"/>
      <c r="F324" s="362"/>
      <c r="G324" s="362"/>
      <c r="H324" s="362"/>
      <c r="I324" s="362"/>
      <c r="J324" s="65"/>
      <c r="K324" s="65"/>
      <c r="L324" s="65"/>
    </row>
    <row r="325" spans="1:12" s="54" customFormat="1" x14ac:dyDescent="0.2">
      <c r="A325" s="61"/>
      <c r="B325" s="62"/>
      <c r="C325" s="62"/>
      <c r="D325" s="350" t="str">
        <f>D311</f>
        <v>Largura =</v>
      </c>
      <c r="E325" s="350"/>
      <c r="F325" s="350"/>
      <c r="G325" s="350"/>
      <c r="H325" s="158">
        <f>H318</f>
        <v>73</v>
      </c>
      <c r="I325" s="73" t="str">
        <f>I319</f>
        <v>faces</v>
      </c>
      <c r="J325" s="65"/>
      <c r="K325" s="65"/>
      <c r="L325" s="65"/>
    </row>
    <row r="326" spans="1:12" s="54" customFormat="1" x14ac:dyDescent="0.2">
      <c r="A326" s="61"/>
      <c r="B326" s="62"/>
      <c r="C326" s="62"/>
      <c r="D326" s="351" t="s">
        <v>207</v>
      </c>
      <c r="E326" s="351"/>
      <c r="F326" s="351"/>
      <c r="G326" s="351"/>
      <c r="H326" s="157">
        <v>2</v>
      </c>
      <c r="I326" s="66" t="s">
        <v>206</v>
      </c>
      <c r="J326" s="65"/>
      <c r="K326" s="65"/>
      <c r="L326" s="65"/>
    </row>
    <row r="327" spans="1:12" s="54" customFormat="1" x14ac:dyDescent="0.2">
      <c r="A327" s="61"/>
      <c r="B327" s="62"/>
      <c r="C327" s="62"/>
      <c r="D327" s="352" t="s">
        <v>41</v>
      </c>
      <c r="E327" s="352"/>
      <c r="F327" s="352"/>
      <c r="G327" s="352"/>
      <c r="H327" s="155">
        <f>H325*H326</f>
        <v>146</v>
      </c>
      <c r="I327" s="67" t="s">
        <v>5</v>
      </c>
      <c r="J327" s="65"/>
      <c r="K327" s="65"/>
      <c r="L327" s="65"/>
    </row>
    <row r="328" spans="1:12" s="54" customFormat="1" x14ac:dyDescent="0.2">
      <c r="A328" s="61"/>
      <c r="B328" s="62"/>
      <c r="C328" s="62"/>
      <c r="D328" s="62"/>
      <c r="E328" s="62"/>
      <c r="F328" s="62"/>
      <c r="G328" s="63"/>
      <c r="H328" s="64"/>
      <c r="I328" s="65"/>
      <c r="J328" s="65"/>
      <c r="K328" s="65"/>
      <c r="L328" s="65"/>
    </row>
    <row r="329" spans="1:12" s="162" customFormat="1" ht="25.5" customHeight="1" x14ac:dyDescent="0.2">
      <c r="A329" s="71" t="s">
        <v>309</v>
      </c>
      <c r="B329" s="353" t="s">
        <v>311</v>
      </c>
      <c r="C329" s="354"/>
      <c r="D329" s="354"/>
      <c r="E329" s="354"/>
      <c r="F329" s="354"/>
      <c r="G329" s="354" t="s">
        <v>42</v>
      </c>
      <c r="H329" s="354" t="s">
        <v>10</v>
      </c>
      <c r="I329" s="354"/>
      <c r="J329" s="354"/>
      <c r="K329" s="355">
        <v>0</v>
      </c>
      <c r="L329" s="161" t="s">
        <v>61</v>
      </c>
    </row>
    <row r="330" spans="1:12" s="54" customFormat="1" x14ac:dyDescent="0.2">
      <c r="A330" s="61"/>
      <c r="B330" s="62"/>
      <c r="C330" s="62"/>
      <c r="D330" s="62"/>
      <c r="E330" s="62"/>
      <c r="F330" s="62"/>
      <c r="G330" s="63"/>
      <c r="H330" s="64"/>
      <c r="I330" s="65"/>
      <c r="J330" s="65"/>
      <c r="K330" s="65"/>
      <c r="L330" s="65"/>
    </row>
    <row r="331" spans="1:12" s="54" customFormat="1" x14ac:dyDescent="0.2">
      <c r="A331" s="61"/>
      <c r="B331" s="62"/>
      <c r="C331" s="62"/>
      <c r="D331" s="362" t="s">
        <v>352</v>
      </c>
      <c r="E331" s="362"/>
      <c r="F331" s="362"/>
      <c r="G331" s="362"/>
      <c r="H331" s="362"/>
      <c r="I331" s="362"/>
      <c r="J331" s="65"/>
      <c r="K331" s="65"/>
      <c r="L331" s="65"/>
    </row>
    <row r="332" spans="1:12" s="54" customFormat="1" x14ac:dyDescent="0.2">
      <c r="A332" s="61"/>
      <c r="B332" s="62"/>
      <c r="C332" s="62"/>
      <c r="D332" s="350" t="str">
        <f>D259</f>
        <v>Quatidade =</v>
      </c>
      <c r="E332" s="350"/>
      <c r="F332" s="350"/>
      <c r="G332" s="350"/>
      <c r="H332" s="158">
        <f>H268</f>
        <v>50</v>
      </c>
      <c r="I332" s="73" t="s">
        <v>172</v>
      </c>
      <c r="J332" s="65"/>
      <c r="K332" s="65"/>
      <c r="L332" s="65"/>
    </row>
    <row r="333" spans="1:12" s="54" customFormat="1" x14ac:dyDescent="0.2">
      <c r="A333" s="61"/>
      <c r="B333" s="62"/>
      <c r="C333" s="62"/>
      <c r="D333" s="350" t="s">
        <v>354</v>
      </c>
      <c r="E333" s="350"/>
      <c r="F333" s="350"/>
      <c r="G333" s="350"/>
      <c r="H333" s="158">
        <v>3.5</v>
      </c>
      <c r="I333" s="73" t="s">
        <v>7</v>
      </c>
      <c r="J333" s="65"/>
      <c r="K333" s="65"/>
      <c r="L333" s="65"/>
    </row>
    <row r="334" spans="1:12" s="54" customFormat="1" x14ac:dyDescent="0.2">
      <c r="A334" s="61"/>
      <c r="B334" s="62"/>
      <c r="C334" s="62"/>
      <c r="D334" s="350" t="s">
        <v>355</v>
      </c>
      <c r="E334" s="350"/>
      <c r="F334" s="350"/>
      <c r="G334" s="350"/>
      <c r="H334" s="158">
        <v>5.08</v>
      </c>
      <c r="I334" s="73" t="s">
        <v>356</v>
      </c>
      <c r="J334" s="65"/>
      <c r="K334" s="65"/>
      <c r="L334" s="65"/>
    </row>
    <row r="335" spans="1:12" s="54" customFormat="1" x14ac:dyDescent="0.2">
      <c r="A335" s="61"/>
      <c r="B335" s="62"/>
      <c r="C335" s="62"/>
      <c r="D335" s="351" t="s">
        <v>358</v>
      </c>
      <c r="E335" s="351"/>
      <c r="F335" s="351"/>
      <c r="G335" s="351"/>
      <c r="H335" s="157">
        <f>PI()*H334/100</f>
        <v>0.15959290680236149</v>
      </c>
      <c r="I335" s="66" t="s">
        <v>7</v>
      </c>
      <c r="J335" s="65"/>
      <c r="K335" s="65"/>
      <c r="L335" s="65"/>
    </row>
    <row r="336" spans="1:12" s="54" customFormat="1" x14ac:dyDescent="0.2">
      <c r="A336" s="61"/>
      <c r="B336" s="62"/>
      <c r="C336" s="62"/>
      <c r="D336" s="352" t="s">
        <v>357</v>
      </c>
      <c r="E336" s="352"/>
      <c r="F336" s="352"/>
      <c r="G336" s="352"/>
      <c r="H336" s="155">
        <f>H335*H333*H332</f>
        <v>27.928758690413257</v>
      </c>
      <c r="I336" s="67" t="s">
        <v>5</v>
      </c>
      <c r="J336" s="65"/>
      <c r="K336" s="65"/>
      <c r="L336" s="65"/>
    </row>
    <row r="337" spans="1:12" s="54" customFormat="1" x14ac:dyDescent="0.2">
      <c r="A337" s="61"/>
      <c r="B337" s="62"/>
      <c r="C337" s="62"/>
      <c r="D337" s="156"/>
      <c r="E337" s="156"/>
      <c r="F337" s="156"/>
      <c r="G337" s="156"/>
      <c r="H337" s="156"/>
      <c r="I337" s="156"/>
      <c r="J337" s="65"/>
      <c r="K337" s="65"/>
      <c r="L337" s="65"/>
    </row>
    <row r="338" spans="1:12" s="54" customFormat="1" x14ac:dyDescent="0.2">
      <c r="A338" s="61"/>
      <c r="B338" s="62"/>
      <c r="C338" s="62"/>
      <c r="D338" s="362" t="s">
        <v>353</v>
      </c>
      <c r="E338" s="362"/>
      <c r="F338" s="362"/>
      <c r="G338" s="362"/>
      <c r="H338" s="362"/>
      <c r="I338" s="362"/>
      <c r="J338" s="65"/>
      <c r="K338" s="65"/>
      <c r="L338" s="65"/>
    </row>
    <row r="339" spans="1:12" s="54" customFormat="1" x14ac:dyDescent="0.2">
      <c r="A339" s="61"/>
      <c r="B339" s="62"/>
      <c r="C339" s="62"/>
      <c r="D339" s="350" t="str">
        <f>D332</f>
        <v>Quatidade =</v>
      </c>
      <c r="E339" s="350"/>
      <c r="F339" s="350"/>
      <c r="G339" s="350"/>
      <c r="H339" s="158">
        <v>3</v>
      </c>
      <c r="I339" s="73" t="s">
        <v>360</v>
      </c>
      <c r="J339" s="65"/>
      <c r="K339" s="65"/>
      <c r="L339" s="65"/>
    </row>
    <row r="340" spans="1:12" s="54" customFormat="1" x14ac:dyDescent="0.2">
      <c r="A340" s="61"/>
      <c r="B340" s="62"/>
      <c r="C340" s="62"/>
      <c r="D340" s="350" t="str">
        <f>D310</f>
        <v>Comprimento =</v>
      </c>
      <c r="E340" s="350"/>
      <c r="F340" s="350"/>
      <c r="G340" s="350"/>
      <c r="H340" s="158">
        <f>H310</f>
        <v>32</v>
      </c>
      <c r="I340" s="73" t="str">
        <f>I310</f>
        <v>m</v>
      </c>
      <c r="J340" s="65"/>
      <c r="K340" s="65"/>
      <c r="L340" s="65"/>
    </row>
    <row r="341" spans="1:12" s="54" customFormat="1" x14ac:dyDescent="0.2">
      <c r="A341" s="61"/>
      <c r="B341" s="62"/>
      <c r="C341" s="62"/>
      <c r="D341" s="350" t="str">
        <f>D311</f>
        <v>Largura =</v>
      </c>
      <c r="E341" s="350"/>
      <c r="F341" s="350"/>
      <c r="G341" s="350"/>
      <c r="H341" s="158">
        <f>H311</f>
        <v>41</v>
      </c>
      <c r="I341" s="73" t="str">
        <f>I311</f>
        <v>m</v>
      </c>
      <c r="J341" s="65"/>
      <c r="K341" s="65"/>
      <c r="L341" s="65"/>
    </row>
    <row r="342" spans="1:12" s="54" customFormat="1" x14ac:dyDescent="0.2">
      <c r="A342" s="61"/>
      <c r="B342" s="62"/>
      <c r="C342" s="62"/>
      <c r="D342" s="350" t="s">
        <v>359</v>
      </c>
      <c r="E342" s="350"/>
      <c r="F342" s="350"/>
      <c r="G342" s="350"/>
      <c r="H342" s="158">
        <f>(H340+H341)*2</f>
        <v>146</v>
      </c>
      <c r="I342" s="73" t="s">
        <v>7</v>
      </c>
      <c r="J342" s="65"/>
      <c r="K342" s="65"/>
      <c r="L342" s="65"/>
    </row>
    <row r="343" spans="1:12" s="54" customFormat="1" x14ac:dyDescent="0.2">
      <c r="A343" s="61"/>
      <c r="B343" s="62"/>
      <c r="C343" s="62"/>
      <c r="D343" s="350" t="s">
        <v>355</v>
      </c>
      <c r="E343" s="350"/>
      <c r="F343" s="350"/>
      <c r="G343" s="350"/>
      <c r="H343" s="158">
        <v>5.08</v>
      </c>
      <c r="I343" s="73" t="s">
        <v>356</v>
      </c>
      <c r="J343" s="65"/>
      <c r="K343" s="65"/>
      <c r="L343" s="65"/>
    </row>
    <row r="344" spans="1:12" s="54" customFormat="1" x14ac:dyDescent="0.2">
      <c r="A344" s="61"/>
      <c r="B344" s="62"/>
      <c r="C344" s="62"/>
      <c r="D344" s="351" t="s">
        <v>358</v>
      </c>
      <c r="E344" s="351"/>
      <c r="F344" s="351"/>
      <c r="G344" s="351"/>
      <c r="H344" s="157">
        <f>PI()*H343/100</f>
        <v>0.15959290680236149</v>
      </c>
      <c r="I344" s="66" t="s">
        <v>7</v>
      </c>
      <c r="J344" s="65"/>
      <c r="K344" s="65"/>
      <c r="L344" s="65"/>
    </row>
    <row r="345" spans="1:12" s="54" customFormat="1" x14ac:dyDescent="0.2">
      <c r="A345" s="61"/>
      <c r="B345" s="62"/>
      <c r="C345" s="62"/>
      <c r="D345" s="352" t="s">
        <v>357</v>
      </c>
      <c r="E345" s="352"/>
      <c r="F345" s="352"/>
      <c r="G345" s="352"/>
      <c r="H345" s="155">
        <f>H344*H342*H339</f>
        <v>69.901693179434332</v>
      </c>
      <c r="I345" s="67" t="s">
        <v>5</v>
      </c>
      <c r="J345" s="65"/>
      <c r="K345" s="65"/>
      <c r="L345" s="65"/>
    </row>
    <row r="346" spans="1:12" s="54" customFormat="1" x14ac:dyDescent="0.2">
      <c r="A346" s="61"/>
      <c r="B346" s="62"/>
      <c r="C346" s="62"/>
      <c r="D346" s="166"/>
      <c r="E346" s="166"/>
      <c r="F346" s="166"/>
      <c r="G346" s="166"/>
      <c r="H346" s="155"/>
      <c r="I346" s="67"/>
      <c r="J346" s="65"/>
      <c r="K346" s="65"/>
      <c r="L346" s="65"/>
    </row>
    <row r="347" spans="1:12" s="54" customFormat="1" x14ac:dyDescent="0.2">
      <c r="A347" s="61"/>
      <c r="B347" s="62"/>
      <c r="C347" s="62"/>
      <c r="D347" s="356" t="s">
        <v>220</v>
      </c>
      <c r="E347" s="356"/>
      <c r="F347" s="356"/>
      <c r="G347" s="356"/>
      <c r="H347" s="155">
        <f>H336+H345</f>
        <v>97.830451869847593</v>
      </c>
      <c r="I347" s="67" t="s">
        <v>5</v>
      </c>
      <c r="J347" s="65"/>
      <c r="K347" s="65"/>
      <c r="L347" s="65"/>
    </row>
    <row r="348" spans="1:12" s="54" customFormat="1" x14ac:dyDescent="0.2">
      <c r="A348" s="61"/>
      <c r="B348" s="62"/>
      <c r="C348" s="62"/>
      <c r="D348" s="155"/>
      <c r="E348" s="155"/>
      <c r="F348" s="155"/>
      <c r="G348" s="155"/>
      <c r="H348" s="155"/>
      <c r="I348" s="67"/>
      <c r="J348" s="65"/>
      <c r="K348" s="65"/>
      <c r="L348" s="65"/>
    </row>
    <row r="349" spans="1:12" s="54" customFormat="1" ht="26.1" customHeight="1" x14ac:dyDescent="0.2">
      <c r="A349" s="69" t="s">
        <v>310</v>
      </c>
      <c r="B349" s="369" t="s">
        <v>312</v>
      </c>
      <c r="C349" s="370"/>
      <c r="D349" s="370"/>
      <c r="E349" s="370"/>
      <c r="F349" s="370"/>
      <c r="G349" s="370"/>
      <c r="H349" s="370"/>
      <c r="I349" s="370"/>
      <c r="J349" s="370"/>
      <c r="K349" s="371"/>
      <c r="L349" s="74" t="s">
        <v>61</v>
      </c>
    </row>
    <row r="350" spans="1:12" s="54" customFormat="1" x14ac:dyDescent="0.2">
      <c r="A350" s="61"/>
      <c r="B350" s="62"/>
      <c r="C350" s="62"/>
      <c r="D350" s="62"/>
      <c r="E350" s="62"/>
      <c r="F350" s="62"/>
      <c r="G350" s="63"/>
      <c r="H350" s="64"/>
      <c r="I350" s="65"/>
      <c r="J350" s="65"/>
      <c r="K350" s="65"/>
      <c r="L350" s="65"/>
    </row>
    <row r="351" spans="1:12" s="54" customFormat="1" x14ac:dyDescent="0.2">
      <c r="A351" s="61"/>
      <c r="B351" s="62"/>
      <c r="C351" s="62"/>
      <c r="D351" s="362" t="s">
        <v>352</v>
      </c>
      <c r="E351" s="362"/>
      <c r="F351" s="362"/>
      <c r="G351" s="362"/>
      <c r="H351" s="362"/>
      <c r="I351" s="362"/>
      <c r="J351" s="65"/>
      <c r="K351" s="65"/>
      <c r="L351" s="65"/>
    </row>
    <row r="352" spans="1:12" s="54" customFormat="1" x14ac:dyDescent="0.2">
      <c r="A352" s="61"/>
      <c r="B352" s="62"/>
      <c r="C352" s="62"/>
      <c r="D352" s="350" t="str">
        <f>D332</f>
        <v>Quatidade =</v>
      </c>
      <c r="E352" s="350"/>
      <c r="F352" s="350"/>
      <c r="G352" s="350"/>
      <c r="H352" s="158">
        <f>H332</f>
        <v>50</v>
      </c>
      <c r="I352" s="73" t="str">
        <f>I332</f>
        <v>barras</v>
      </c>
      <c r="J352" s="65"/>
      <c r="K352" s="65"/>
      <c r="L352" s="65"/>
    </row>
    <row r="353" spans="1:12" s="54" customFormat="1" x14ac:dyDescent="0.2">
      <c r="A353" s="61"/>
      <c r="B353" s="62"/>
      <c r="C353" s="62"/>
      <c r="D353" s="350" t="str">
        <f t="shared" ref="D353:D354" si="0">D333</f>
        <v>Altura da barra =</v>
      </c>
      <c r="E353" s="350"/>
      <c r="F353" s="350"/>
      <c r="G353" s="350"/>
      <c r="H353" s="158">
        <f t="shared" ref="H353:I354" si="1">H333</f>
        <v>3.5</v>
      </c>
      <c r="I353" s="73" t="str">
        <f t="shared" si="1"/>
        <v>m</v>
      </c>
      <c r="J353" s="65"/>
      <c r="K353" s="65"/>
      <c r="L353" s="65"/>
    </row>
    <row r="354" spans="1:12" s="54" customFormat="1" x14ac:dyDescent="0.2">
      <c r="A354" s="61"/>
      <c r="B354" s="62"/>
      <c r="C354" s="62"/>
      <c r="D354" s="350" t="str">
        <f t="shared" si="0"/>
        <v>Diâmetro da barra =</v>
      </c>
      <c r="E354" s="350"/>
      <c r="F354" s="350"/>
      <c r="G354" s="350"/>
      <c r="H354" s="158">
        <f t="shared" si="1"/>
        <v>5.08</v>
      </c>
      <c r="I354" s="73" t="str">
        <f t="shared" si="1"/>
        <v>cm</v>
      </c>
      <c r="J354" s="65"/>
      <c r="K354" s="65"/>
      <c r="L354" s="65"/>
    </row>
    <row r="355" spans="1:12" s="54" customFormat="1" x14ac:dyDescent="0.2">
      <c r="A355" s="61"/>
      <c r="B355" s="62"/>
      <c r="C355" s="62"/>
      <c r="D355" s="351" t="str">
        <f>D335</f>
        <v>Perímetro da seção da barra =</v>
      </c>
      <c r="E355" s="351"/>
      <c r="F355" s="351"/>
      <c r="G355" s="351"/>
      <c r="H355" s="157">
        <f>H335</f>
        <v>0.15959290680236149</v>
      </c>
      <c r="I355" s="66" t="str">
        <f t="shared" ref="I355" si="2">I335</f>
        <v>m</v>
      </c>
      <c r="J355" s="65"/>
      <c r="K355" s="65"/>
      <c r="L355" s="65"/>
    </row>
    <row r="356" spans="1:12" s="54" customFormat="1" x14ac:dyDescent="0.2">
      <c r="A356" s="61"/>
      <c r="B356" s="62"/>
      <c r="C356" s="62"/>
      <c r="D356" s="352" t="s">
        <v>357</v>
      </c>
      <c r="E356" s="352"/>
      <c r="F356" s="352"/>
      <c r="G356" s="352"/>
      <c r="H356" s="155">
        <f>H355*H353*H352</f>
        <v>27.928758690413257</v>
      </c>
      <c r="I356" s="67" t="s">
        <v>5</v>
      </c>
      <c r="J356" s="65"/>
      <c r="K356" s="65"/>
      <c r="L356" s="65"/>
    </row>
    <row r="357" spans="1:12" s="54" customFormat="1" x14ac:dyDescent="0.2">
      <c r="A357" s="61"/>
      <c r="B357" s="62"/>
      <c r="C357" s="62"/>
      <c r="D357" s="156"/>
      <c r="E357" s="156"/>
      <c r="F357" s="156"/>
      <c r="G357" s="156"/>
      <c r="H357" s="156"/>
      <c r="I357" s="156"/>
      <c r="J357" s="65"/>
      <c r="K357" s="65"/>
      <c r="L357" s="65"/>
    </row>
    <row r="358" spans="1:12" s="54" customFormat="1" x14ac:dyDescent="0.2">
      <c r="A358" s="61"/>
      <c r="B358" s="62"/>
      <c r="C358" s="62"/>
      <c r="D358" s="362" t="s">
        <v>353</v>
      </c>
      <c r="E358" s="362"/>
      <c r="F358" s="362"/>
      <c r="G358" s="362"/>
      <c r="H358" s="362"/>
      <c r="I358" s="362"/>
      <c r="J358" s="65"/>
      <c r="K358" s="65"/>
      <c r="L358" s="65"/>
    </row>
    <row r="359" spans="1:12" s="54" customFormat="1" x14ac:dyDescent="0.2">
      <c r="A359" s="61"/>
      <c r="B359" s="62"/>
      <c r="C359" s="62"/>
      <c r="D359" s="350" t="str">
        <f>D339</f>
        <v>Quatidade =</v>
      </c>
      <c r="E359" s="350"/>
      <c r="F359" s="350"/>
      <c r="G359" s="350"/>
      <c r="H359" s="158">
        <f>H339</f>
        <v>3</v>
      </c>
      <c r="I359" s="73" t="str">
        <f>I339</f>
        <v>Lances</v>
      </c>
      <c r="J359" s="65"/>
      <c r="K359" s="65"/>
      <c r="L359" s="65"/>
    </row>
    <row r="360" spans="1:12" s="54" customFormat="1" x14ac:dyDescent="0.2">
      <c r="A360" s="61"/>
      <c r="B360" s="62"/>
      <c r="C360" s="62"/>
      <c r="D360" s="350" t="str">
        <f t="shared" ref="D360:D363" si="3">D340</f>
        <v>Comprimento =</v>
      </c>
      <c r="E360" s="350"/>
      <c r="F360" s="350"/>
      <c r="G360" s="350"/>
      <c r="H360" s="158">
        <f t="shared" ref="H360:I363" si="4">H340</f>
        <v>32</v>
      </c>
      <c r="I360" s="73" t="str">
        <f t="shared" si="4"/>
        <v>m</v>
      </c>
      <c r="J360" s="65"/>
      <c r="K360" s="65"/>
      <c r="L360" s="65"/>
    </row>
    <row r="361" spans="1:12" s="54" customFormat="1" x14ac:dyDescent="0.2">
      <c r="A361" s="61"/>
      <c r="B361" s="62"/>
      <c r="C361" s="62"/>
      <c r="D361" s="350" t="str">
        <f t="shared" si="3"/>
        <v>Largura =</v>
      </c>
      <c r="E361" s="350"/>
      <c r="F361" s="350"/>
      <c r="G361" s="350"/>
      <c r="H361" s="158">
        <f t="shared" si="4"/>
        <v>41</v>
      </c>
      <c r="I361" s="73" t="str">
        <f t="shared" si="4"/>
        <v>m</v>
      </c>
      <c r="J361" s="65"/>
      <c r="K361" s="65"/>
      <c r="L361" s="65"/>
    </row>
    <row r="362" spans="1:12" s="54" customFormat="1" x14ac:dyDescent="0.2">
      <c r="A362" s="61"/>
      <c r="B362" s="62"/>
      <c r="C362" s="62"/>
      <c r="D362" s="350" t="str">
        <f t="shared" si="3"/>
        <v>comprimento da barra =</v>
      </c>
      <c r="E362" s="350"/>
      <c r="F362" s="350"/>
      <c r="G362" s="350"/>
      <c r="H362" s="158">
        <f>H342</f>
        <v>146</v>
      </c>
      <c r="I362" s="73" t="str">
        <f t="shared" si="4"/>
        <v>m</v>
      </c>
      <c r="J362" s="65"/>
      <c r="K362" s="65"/>
      <c r="L362" s="65"/>
    </row>
    <row r="363" spans="1:12" s="54" customFormat="1" x14ac:dyDescent="0.2">
      <c r="A363" s="61"/>
      <c r="B363" s="62"/>
      <c r="C363" s="62"/>
      <c r="D363" s="350" t="str">
        <f t="shared" si="3"/>
        <v>Diâmetro da barra =</v>
      </c>
      <c r="E363" s="350"/>
      <c r="F363" s="350"/>
      <c r="G363" s="350"/>
      <c r="H363" s="158">
        <f t="shared" si="4"/>
        <v>5.08</v>
      </c>
      <c r="I363" s="73" t="str">
        <f t="shared" si="4"/>
        <v>cm</v>
      </c>
      <c r="J363" s="65"/>
      <c r="K363" s="65"/>
      <c r="L363" s="65"/>
    </row>
    <row r="364" spans="1:12" s="54" customFormat="1" x14ac:dyDescent="0.2">
      <c r="A364" s="61"/>
      <c r="B364" s="62"/>
      <c r="C364" s="62"/>
      <c r="D364" s="351" t="str">
        <f>D344</f>
        <v>Perímetro da seção da barra =</v>
      </c>
      <c r="E364" s="351"/>
      <c r="F364" s="351"/>
      <c r="G364" s="351"/>
      <c r="H364" s="157">
        <f>H344</f>
        <v>0.15959290680236149</v>
      </c>
      <c r="I364" s="66" t="str">
        <f t="shared" ref="I364" si="5">I344</f>
        <v>m</v>
      </c>
      <c r="J364" s="65"/>
      <c r="K364" s="65"/>
      <c r="L364" s="65"/>
    </row>
    <row r="365" spans="1:12" s="54" customFormat="1" x14ac:dyDescent="0.2">
      <c r="A365" s="61"/>
      <c r="B365" s="62"/>
      <c r="C365" s="62"/>
      <c r="D365" s="352" t="s">
        <v>357</v>
      </c>
      <c r="E365" s="352"/>
      <c r="F365" s="352"/>
      <c r="G365" s="352"/>
      <c r="H365" s="155">
        <f>H364*H362*H359</f>
        <v>69.901693179434332</v>
      </c>
      <c r="I365" s="67" t="s">
        <v>5</v>
      </c>
      <c r="J365" s="65"/>
      <c r="K365" s="65"/>
      <c r="L365" s="65"/>
    </row>
    <row r="366" spans="1:12" s="54" customFormat="1" x14ac:dyDescent="0.2">
      <c r="A366" s="61"/>
      <c r="B366" s="62"/>
      <c r="C366" s="62"/>
      <c r="D366" s="166"/>
      <c r="E366" s="166"/>
      <c r="F366" s="166"/>
      <c r="G366" s="166"/>
      <c r="H366" s="155"/>
      <c r="I366" s="67"/>
      <c r="J366" s="65"/>
      <c r="K366" s="65"/>
      <c r="L366" s="65"/>
    </row>
    <row r="367" spans="1:12" s="54" customFormat="1" x14ac:dyDescent="0.2">
      <c r="A367" s="61"/>
      <c r="B367" s="62"/>
      <c r="C367" s="62"/>
      <c r="D367" s="356" t="s">
        <v>220</v>
      </c>
      <c r="E367" s="356"/>
      <c r="F367" s="356"/>
      <c r="G367" s="356"/>
      <c r="H367" s="155">
        <f>H356+H365</f>
        <v>97.830451869847593</v>
      </c>
      <c r="I367" s="67" t="s">
        <v>5</v>
      </c>
      <c r="J367" s="65"/>
      <c r="K367" s="65"/>
      <c r="L367" s="65"/>
    </row>
    <row r="368" spans="1:12" s="54" customFormat="1" x14ac:dyDescent="0.2">
      <c r="A368" s="61"/>
      <c r="B368" s="62"/>
      <c r="C368" s="62"/>
      <c r="D368" s="224"/>
      <c r="E368" s="224"/>
      <c r="F368" s="224"/>
      <c r="G368" s="224"/>
      <c r="H368" s="224"/>
      <c r="I368" s="67"/>
      <c r="J368" s="65"/>
      <c r="K368" s="65"/>
      <c r="L368" s="65"/>
    </row>
    <row r="369" spans="1:12" s="162" customFormat="1" x14ac:dyDescent="0.2">
      <c r="A369" s="71" t="s">
        <v>411</v>
      </c>
      <c r="B369" s="353" t="s">
        <v>412</v>
      </c>
      <c r="C369" s="354"/>
      <c r="D369" s="354"/>
      <c r="E369" s="354"/>
      <c r="F369" s="354"/>
      <c r="G369" s="354" t="s">
        <v>42</v>
      </c>
      <c r="H369" s="354" t="s">
        <v>10</v>
      </c>
      <c r="I369" s="354"/>
      <c r="J369" s="354"/>
      <c r="K369" s="355">
        <v>0</v>
      </c>
      <c r="L369" s="161" t="s">
        <v>169</v>
      </c>
    </row>
    <row r="370" spans="1:12" s="54" customFormat="1" x14ac:dyDescent="0.2">
      <c r="A370" s="61"/>
      <c r="B370" s="62"/>
      <c r="C370" s="62"/>
      <c r="D370" s="62"/>
      <c r="E370" s="62"/>
      <c r="F370" s="62"/>
      <c r="G370" s="63"/>
      <c r="H370" s="64"/>
      <c r="I370" s="65"/>
      <c r="J370" s="65"/>
      <c r="K370" s="65"/>
      <c r="L370" s="65"/>
    </row>
    <row r="371" spans="1:12" s="54" customFormat="1" x14ac:dyDescent="0.2">
      <c r="A371" s="61"/>
      <c r="B371" s="62"/>
      <c r="C371" s="62"/>
      <c r="D371" s="362" t="s">
        <v>414</v>
      </c>
      <c r="E371" s="362"/>
      <c r="F371" s="362"/>
      <c r="G371" s="362"/>
      <c r="H371" s="226"/>
      <c r="I371" s="73"/>
      <c r="J371" s="65"/>
      <c r="K371" s="65"/>
      <c r="L371" s="65"/>
    </row>
    <row r="372" spans="1:12" s="54" customFormat="1" x14ac:dyDescent="0.2">
      <c r="A372" s="61"/>
      <c r="B372" s="62"/>
      <c r="C372" s="62"/>
      <c r="D372" s="351" t="s">
        <v>362</v>
      </c>
      <c r="E372" s="351"/>
      <c r="F372" s="351"/>
      <c r="G372" s="351"/>
      <c r="H372" s="227">
        <v>175.13</v>
      </c>
      <c r="I372" s="66" t="s">
        <v>7</v>
      </c>
      <c r="J372" s="65"/>
      <c r="K372" s="65"/>
      <c r="L372" s="65"/>
    </row>
    <row r="373" spans="1:12" s="54" customFormat="1" x14ac:dyDescent="0.2">
      <c r="A373" s="61"/>
      <c r="B373" s="62"/>
      <c r="C373" s="62"/>
      <c r="D373" s="374" t="s">
        <v>41</v>
      </c>
      <c r="E373" s="374"/>
      <c r="F373" s="374"/>
      <c r="G373" s="374"/>
      <c r="H373" s="224">
        <f>H372</f>
        <v>175.13</v>
      </c>
      <c r="I373" s="67" t="s">
        <v>7</v>
      </c>
      <c r="J373" s="65"/>
      <c r="K373" s="65"/>
      <c r="L373" s="65"/>
    </row>
    <row r="374" spans="1:12" s="54" customFormat="1" x14ac:dyDescent="0.2">
      <c r="A374" s="61"/>
      <c r="B374" s="62"/>
      <c r="C374" s="62"/>
      <c r="D374" s="225"/>
      <c r="E374" s="225"/>
      <c r="F374" s="225"/>
      <c r="G374" s="225"/>
      <c r="H374" s="224"/>
      <c r="I374" s="67"/>
      <c r="J374" s="65"/>
      <c r="K374" s="65"/>
      <c r="L374" s="65"/>
    </row>
    <row r="375" spans="1:12" s="54" customFormat="1" x14ac:dyDescent="0.2">
      <c r="A375" s="61"/>
      <c r="B375" s="62"/>
      <c r="C375" s="62"/>
      <c r="D375" s="356" t="s">
        <v>410</v>
      </c>
      <c r="E375" s="356"/>
      <c r="F375" s="356"/>
      <c r="G375" s="356"/>
      <c r="H375" s="224">
        <f>H373</f>
        <v>175.13</v>
      </c>
      <c r="I375" s="67" t="s">
        <v>7</v>
      </c>
      <c r="J375" s="65"/>
      <c r="K375" s="65"/>
      <c r="L375" s="65"/>
    </row>
    <row r="376" spans="1:12" s="54" customFormat="1" x14ac:dyDescent="0.2">
      <c r="A376" s="61"/>
      <c r="B376" s="62"/>
      <c r="C376" s="62"/>
      <c r="D376" s="155"/>
      <c r="E376" s="155"/>
      <c r="F376" s="155"/>
      <c r="G376" s="155"/>
      <c r="H376" s="155"/>
      <c r="I376" s="67"/>
      <c r="J376" s="65"/>
      <c r="K376" s="65"/>
      <c r="L376" s="65"/>
    </row>
    <row r="377" spans="1:12" s="54" customFormat="1" x14ac:dyDescent="0.2">
      <c r="A377" s="58" t="s">
        <v>146</v>
      </c>
      <c r="B377" s="357" t="s">
        <v>216</v>
      </c>
      <c r="C377" s="358"/>
      <c r="D377" s="358"/>
      <c r="E377" s="358"/>
      <c r="F377" s="358"/>
      <c r="G377" s="358" t="s">
        <v>43</v>
      </c>
      <c r="H377" s="358"/>
      <c r="I377" s="358"/>
      <c r="J377" s="358"/>
      <c r="K377" s="358"/>
      <c r="L377" s="358">
        <f>SUM(L442:L442)</f>
        <v>0</v>
      </c>
    </row>
    <row r="378" spans="1:12" s="54" customFormat="1" ht="25.5" customHeight="1" x14ac:dyDescent="0.2">
      <c r="A378" s="71" t="s">
        <v>135</v>
      </c>
      <c r="B378" s="359" t="s">
        <v>499</v>
      </c>
      <c r="C378" s="360"/>
      <c r="D378" s="360"/>
      <c r="E378" s="360"/>
      <c r="F378" s="360"/>
      <c r="G378" s="360"/>
      <c r="H378" s="360"/>
      <c r="I378" s="360"/>
      <c r="J378" s="360"/>
      <c r="K378" s="361"/>
      <c r="L378" s="72" t="s">
        <v>61</v>
      </c>
    </row>
    <row r="379" spans="1:12" s="54" customFormat="1" x14ac:dyDescent="0.2">
      <c r="A379" s="61"/>
      <c r="B379" s="62"/>
      <c r="C379" s="62"/>
      <c r="D379" s="62"/>
      <c r="E379" s="62"/>
      <c r="F379" s="62"/>
      <c r="G379" s="63"/>
      <c r="H379" s="64"/>
      <c r="I379" s="65"/>
      <c r="J379" s="65"/>
      <c r="K379" s="65"/>
      <c r="L379" s="65"/>
    </row>
    <row r="380" spans="1:12" s="54" customFormat="1" x14ac:dyDescent="0.2">
      <c r="A380" s="61"/>
      <c r="B380" s="62"/>
      <c r="C380" s="62"/>
      <c r="D380" s="362" t="s">
        <v>218</v>
      </c>
      <c r="E380" s="362"/>
      <c r="F380" s="362"/>
      <c r="G380" s="362"/>
      <c r="H380" s="362"/>
      <c r="I380" s="362"/>
      <c r="J380" s="65"/>
      <c r="K380" s="65"/>
      <c r="L380" s="65"/>
    </row>
    <row r="381" spans="1:12" s="54" customFormat="1" x14ac:dyDescent="0.2">
      <c r="A381" s="61"/>
      <c r="B381" s="62"/>
      <c r="C381" s="62"/>
      <c r="D381" s="373" t="s">
        <v>301</v>
      </c>
      <c r="E381" s="373"/>
      <c r="F381" s="373"/>
      <c r="G381" s="373"/>
      <c r="H381" s="232">
        <v>396.67</v>
      </c>
      <c r="I381" s="232" t="str">
        <f>I85</f>
        <v>m²</v>
      </c>
      <c r="J381" s="180"/>
      <c r="K381" s="180"/>
      <c r="L381" s="65"/>
    </row>
    <row r="382" spans="1:12" s="54" customFormat="1" x14ac:dyDescent="0.2">
      <c r="A382" s="61"/>
      <c r="B382" s="62"/>
      <c r="C382" s="62"/>
      <c r="D382" s="356" t="s">
        <v>41</v>
      </c>
      <c r="E382" s="356"/>
      <c r="F382" s="356"/>
      <c r="G382" s="356"/>
      <c r="H382" s="155">
        <f>H381</f>
        <v>396.67</v>
      </c>
      <c r="I382" s="67" t="s">
        <v>5</v>
      </c>
      <c r="J382" s="65"/>
      <c r="K382" s="65"/>
      <c r="L382" s="65"/>
    </row>
    <row r="383" spans="1:12" s="54" customFormat="1" x14ac:dyDescent="0.2">
      <c r="A383" s="61"/>
      <c r="B383" s="62"/>
      <c r="C383" s="62"/>
      <c r="D383" s="155"/>
      <c r="E383" s="155"/>
      <c r="F383" s="155"/>
      <c r="G383" s="155"/>
      <c r="H383" s="155"/>
      <c r="I383" s="67"/>
      <c r="J383" s="65"/>
      <c r="K383" s="65"/>
      <c r="L383" s="65"/>
    </row>
    <row r="384" spans="1:12" s="54" customFormat="1" ht="26.1" customHeight="1" x14ac:dyDescent="0.2">
      <c r="A384" s="69" t="s">
        <v>314</v>
      </c>
      <c r="B384" s="369" t="s">
        <v>313</v>
      </c>
      <c r="C384" s="370"/>
      <c r="D384" s="370"/>
      <c r="E384" s="370"/>
      <c r="F384" s="370"/>
      <c r="G384" s="370"/>
      <c r="H384" s="370"/>
      <c r="I384" s="370"/>
      <c r="J384" s="370"/>
      <c r="K384" s="371"/>
      <c r="L384" s="74" t="s">
        <v>169</v>
      </c>
    </row>
    <row r="385" spans="1:12" s="54" customFormat="1" x14ac:dyDescent="0.2">
      <c r="A385" s="61"/>
      <c r="B385" s="62"/>
      <c r="C385" s="62"/>
      <c r="D385" s="62"/>
      <c r="E385" s="62"/>
      <c r="F385" s="62"/>
      <c r="G385" s="63"/>
      <c r="H385" s="64"/>
      <c r="I385" s="65"/>
      <c r="J385" s="65"/>
      <c r="K385" s="65"/>
      <c r="L385" s="65"/>
    </row>
    <row r="386" spans="1:12" s="54" customFormat="1" x14ac:dyDescent="0.2">
      <c r="A386" s="61"/>
      <c r="B386" s="62"/>
      <c r="C386" s="62"/>
      <c r="D386" s="362" t="s">
        <v>414</v>
      </c>
      <c r="E386" s="362"/>
      <c r="F386" s="362"/>
      <c r="G386" s="362"/>
      <c r="H386" s="158"/>
      <c r="I386" s="73"/>
      <c r="J386" s="65"/>
      <c r="K386" s="65"/>
      <c r="L386" s="65"/>
    </row>
    <row r="387" spans="1:12" s="54" customFormat="1" x14ac:dyDescent="0.2">
      <c r="A387" s="61"/>
      <c r="B387" s="62"/>
      <c r="C387" s="62"/>
      <c r="D387" s="351" t="s">
        <v>362</v>
      </c>
      <c r="E387" s="351"/>
      <c r="F387" s="351"/>
      <c r="G387" s="351"/>
      <c r="H387" s="157">
        <f>H372</f>
        <v>175.13</v>
      </c>
      <c r="I387" s="66" t="s">
        <v>7</v>
      </c>
      <c r="J387" s="65"/>
      <c r="K387" s="65"/>
      <c r="L387" s="65"/>
    </row>
    <row r="388" spans="1:12" s="54" customFormat="1" x14ac:dyDescent="0.2">
      <c r="A388" s="61"/>
      <c r="B388" s="62"/>
      <c r="C388" s="62"/>
      <c r="D388" s="374" t="s">
        <v>41</v>
      </c>
      <c r="E388" s="374"/>
      <c r="F388" s="374"/>
      <c r="G388" s="374"/>
      <c r="H388" s="155">
        <f>H387</f>
        <v>175.13</v>
      </c>
      <c r="I388" s="67" t="s">
        <v>7</v>
      </c>
      <c r="J388" s="65"/>
      <c r="K388" s="65"/>
      <c r="L388" s="65"/>
    </row>
    <row r="389" spans="1:12" s="54" customFormat="1" x14ac:dyDescent="0.2">
      <c r="A389" s="61"/>
      <c r="B389" s="62"/>
      <c r="C389" s="62"/>
      <c r="D389" s="225"/>
      <c r="E389" s="225"/>
      <c r="F389" s="225"/>
      <c r="G389" s="225"/>
      <c r="H389" s="224"/>
      <c r="I389" s="67"/>
      <c r="J389" s="65"/>
      <c r="K389" s="65"/>
      <c r="L389" s="65"/>
    </row>
    <row r="390" spans="1:12" s="54" customFormat="1" x14ac:dyDescent="0.2">
      <c r="A390" s="61"/>
      <c r="B390" s="62"/>
      <c r="C390" s="62"/>
      <c r="D390" s="356" t="s">
        <v>410</v>
      </c>
      <c r="E390" s="356"/>
      <c r="F390" s="356"/>
      <c r="G390" s="356"/>
      <c r="H390" s="224">
        <f>H388</f>
        <v>175.13</v>
      </c>
      <c r="I390" s="67" t="s">
        <v>7</v>
      </c>
      <c r="J390" s="65"/>
      <c r="K390" s="65"/>
      <c r="L390" s="65"/>
    </row>
    <row r="391" spans="1:12" s="54" customFormat="1" x14ac:dyDescent="0.2">
      <c r="A391" s="61"/>
      <c r="B391" s="62"/>
      <c r="C391" s="62"/>
      <c r="D391" s="155"/>
      <c r="E391" s="155"/>
      <c r="F391" s="155"/>
      <c r="G391" s="155"/>
      <c r="H391" s="155"/>
      <c r="I391" s="67"/>
      <c r="J391" s="65"/>
      <c r="K391" s="65"/>
      <c r="L391" s="65"/>
    </row>
    <row r="392" spans="1:12" s="54" customFormat="1" ht="15" customHeight="1" x14ac:dyDescent="0.2">
      <c r="A392" s="58" t="s">
        <v>153</v>
      </c>
      <c r="B392" s="357" t="s">
        <v>15</v>
      </c>
      <c r="C392" s="358"/>
      <c r="D392" s="358"/>
      <c r="E392" s="358"/>
      <c r="F392" s="358"/>
      <c r="G392" s="358" t="s">
        <v>17</v>
      </c>
      <c r="H392" s="358"/>
      <c r="I392" s="358"/>
      <c r="J392" s="358"/>
      <c r="K392" s="358"/>
      <c r="L392" s="358">
        <f>SUM(L440:L445)</f>
        <v>0</v>
      </c>
    </row>
    <row r="393" spans="1:12" s="54" customFormat="1" ht="26.1" customHeight="1" x14ac:dyDescent="0.2">
      <c r="A393" s="59" t="s">
        <v>154</v>
      </c>
      <c r="B393" s="363" t="s">
        <v>500</v>
      </c>
      <c r="C393" s="364"/>
      <c r="D393" s="364"/>
      <c r="E393" s="364"/>
      <c r="F393" s="364"/>
      <c r="G393" s="364" t="s">
        <v>42</v>
      </c>
      <c r="H393" s="364" t="s">
        <v>10</v>
      </c>
      <c r="I393" s="364"/>
      <c r="J393" s="364"/>
      <c r="K393" s="365">
        <v>0</v>
      </c>
      <c r="L393" s="60" t="s">
        <v>61</v>
      </c>
    </row>
    <row r="394" spans="1:12" s="54" customFormat="1" x14ac:dyDescent="0.2">
      <c r="A394" s="61"/>
      <c r="B394" s="62"/>
      <c r="C394" s="62"/>
      <c r="D394" s="155"/>
      <c r="E394" s="155"/>
      <c r="F394" s="155"/>
      <c r="G394" s="155"/>
      <c r="H394" s="155"/>
      <c r="I394" s="67"/>
      <c r="J394" s="65"/>
      <c r="K394" s="65"/>
      <c r="L394" s="65"/>
    </row>
    <row r="395" spans="1:12" s="54" customFormat="1" x14ac:dyDescent="0.2">
      <c r="A395" s="61"/>
      <c r="B395" s="62"/>
      <c r="C395" s="62"/>
      <c r="D395" s="156" t="s">
        <v>363</v>
      </c>
      <c r="E395" s="156"/>
      <c r="F395" s="156"/>
      <c r="G395" s="156"/>
      <c r="H395" s="156"/>
      <c r="I395" s="156"/>
      <c r="J395" s="65"/>
      <c r="K395" s="65"/>
      <c r="L395" s="65"/>
    </row>
    <row r="396" spans="1:12" s="54" customFormat="1" x14ac:dyDescent="0.2">
      <c r="A396" s="61"/>
      <c r="B396" s="62"/>
      <c r="C396" s="62"/>
      <c r="D396" s="350" t="s">
        <v>364</v>
      </c>
      <c r="E396" s="350"/>
      <c r="F396" s="350"/>
      <c r="G396" s="350"/>
      <c r="H396" s="158">
        <v>2</v>
      </c>
      <c r="I396" s="73" t="s">
        <v>365</v>
      </c>
      <c r="J396" s="65"/>
      <c r="K396" s="65"/>
      <c r="L396" s="65"/>
    </row>
    <row r="397" spans="1:12" s="54" customFormat="1" x14ac:dyDescent="0.2">
      <c r="A397" s="61"/>
      <c r="B397" s="62"/>
      <c r="C397" s="62"/>
      <c r="D397" s="350" t="s">
        <v>131</v>
      </c>
      <c r="E397" s="350"/>
      <c r="F397" s="350"/>
      <c r="G397" s="350"/>
      <c r="H397" s="158">
        <v>2.1</v>
      </c>
      <c r="I397" s="73" t="s">
        <v>7</v>
      </c>
      <c r="J397" s="65"/>
      <c r="K397" s="65"/>
      <c r="L397" s="65"/>
    </row>
    <row r="398" spans="1:12" s="54" customFormat="1" ht="12.75" customHeight="1" x14ac:dyDescent="0.2">
      <c r="A398" s="61"/>
      <c r="B398" s="62"/>
      <c r="C398" s="62"/>
      <c r="D398" s="351" t="s">
        <v>132</v>
      </c>
      <c r="E398" s="351"/>
      <c r="F398" s="351"/>
      <c r="G398" s="351"/>
      <c r="H398" s="157">
        <v>1</v>
      </c>
      <c r="I398" s="66" t="s">
        <v>7</v>
      </c>
      <c r="J398" s="65"/>
      <c r="K398" s="65"/>
      <c r="L398" s="65"/>
    </row>
    <row r="399" spans="1:12" s="54" customFormat="1" ht="12.75" customHeight="1" x14ac:dyDescent="0.2">
      <c r="A399" s="61"/>
      <c r="B399" s="62"/>
      <c r="C399" s="62"/>
      <c r="D399" s="356" t="s">
        <v>220</v>
      </c>
      <c r="E399" s="356"/>
      <c r="F399" s="356"/>
      <c r="G399" s="356"/>
      <c r="H399" s="155">
        <f>H397*H398*H396</f>
        <v>4.2</v>
      </c>
      <c r="I399" s="67" t="s">
        <v>5</v>
      </c>
      <c r="J399" s="65"/>
      <c r="K399" s="65"/>
      <c r="L399" s="65"/>
    </row>
    <row r="400" spans="1:12" s="54" customFormat="1" ht="12.75" customHeight="1" x14ac:dyDescent="0.2">
      <c r="A400" s="61"/>
      <c r="B400" s="62"/>
      <c r="C400" s="62"/>
      <c r="D400" s="155"/>
      <c r="E400" s="155"/>
      <c r="F400" s="155"/>
      <c r="G400" s="155"/>
      <c r="H400" s="155"/>
      <c r="I400" s="67"/>
      <c r="J400" s="65"/>
      <c r="K400" s="65"/>
      <c r="L400" s="65"/>
    </row>
    <row r="401" spans="1:12" s="54" customFormat="1" ht="39" customHeight="1" x14ac:dyDescent="0.2">
      <c r="A401" s="69" t="s">
        <v>219</v>
      </c>
      <c r="B401" s="369" t="s">
        <v>501</v>
      </c>
      <c r="C401" s="370"/>
      <c r="D401" s="370"/>
      <c r="E401" s="370"/>
      <c r="F401" s="370"/>
      <c r="G401" s="370" t="s">
        <v>42</v>
      </c>
      <c r="H401" s="370" t="s">
        <v>10</v>
      </c>
      <c r="I401" s="370"/>
      <c r="J401" s="370"/>
      <c r="K401" s="371">
        <v>0</v>
      </c>
      <c r="L401" s="74" t="s">
        <v>61</v>
      </c>
    </row>
    <row r="402" spans="1:12" s="54" customFormat="1" x14ac:dyDescent="0.2">
      <c r="A402" s="61"/>
      <c r="B402" s="62"/>
      <c r="C402" s="62"/>
      <c r="D402" s="155"/>
      <c r="E402" s="155"/>
      <c r="F402" s="155"/>
      <c r="G402" s="155"/>
      <c r="H402" s="155"/>
      <c r="I402" s="67"/>
      <c r="J402" s="65"/>
      <c r="K402" s="65"/>
      <c r="L402" s="65"/>
    </row>
    <row r="403" spans="1:12" s="54" customFormat="1" x14ac:dyDescent="0.2">
      <c r="A403" s="61"/>
      <c r="B403" s="62"/>
      <c r="C403" s="62"/>
      <c r="D403" s="156" t="s">
        <v>425</v>
      </c>
      <c r="E403" s="156"/>
      <c r="F403" s="156"/>
      <c r="G403" s="156"/>
      <c r="H403" s="156"/>
      <c r="I403" s="156"/>
      <c r="J403" s="65"/>
      <c r="K403" s="65"/>
      <c r="L403" s="65"/>
    </row>
    <row r="404" spans="1:12" s="54" customFormat="1" x14ac:dyDescent="0.2">
      <c r="A404" s="61"/>
      <c r="B404" s="62"/>
      <c r="C404" s="62"/>
      <c r="D404" s="350" t="s">
        <v>131</v>
      </c>
      <c r="E404" s="350"/>
      <c r="F404" s="350"/>
      <c r="G404" s="350"/>
      <c r="H404" s="158">
        <v>3.5</v>
      </c>
      <c r="I404" s="73" t="s">
        <v>7</v>
      </c>
      <c r="J404" s="65"/>
      <c r="K404" s="65"/>
      <c r="L404" s="65"/>
    </row>
    <row r="405" spans="1:12" s="54" customFormat="1" x14ac:dyDescent="0.2">
      <c r="A405" s="61"/>
      <c r="B405" s="62"/>
      <c r="C405" s="62"/>
      <c r="D405" s="350" t="str">
        <f>D360</f>
        <v>Comprimento =</v>
      </c>
      <c r="E405" s="350"/>
      <c r="F405" s="350"/>
      <c r="G405" s="350"/>
      <c r="H405" s="158">
        <f>H360</f>
        <v>32</v>
      </c>
      <c r="I405" s="83" t="str">
        <f>I360</f>
        <v>m</v>
      </c>
      <c r="J405" s="65"/>
      <c r="K405" s="65"/>
      <c r="L405" s="65"/>
    </row>
    <row r="406" spans="1:12" s="54" customFormat="1" ht="12.75" customHeight="1" x14ac:dyDescent="0.2">
      <c r="A406" s="61"/>
      <c r="B406" s="62"/>
      <c r="C406" s="62"/>
      <c r="D406" s="351" t="str">
        <f>D361</f>
        <v>Largura =</v>
      </c>
      <c r="E406" s="351"/>
      <c r="F406" s="351"/>
      <c r="G406" s="351"/>
      <c r="H406" s="157">
        <f>H361</f>
        <v>41</v>
      </c>
      <c r="I406" s="84" t="str">
        <f>I361</f>
        <v>m</v>
      </c>
      <c r="J406" s="65"/>
      <c r="K406" s="65"/>
      <c r="L406" s="65"/>
    </row>
    <row r="407" spans="1:12" s="54" customFormat="1" ht="12.75" customHeight="1" x14ac:dyDescent="0.2">
      <c r="A407" s="61"/>
      <c r="B407" s="62"/>
      <c r="C407" s="62"/>
      <c r="D407" s="356" t="s">
        <v>220</v>
      </c>
      <c r="E407" s="356"/>
      <c r="F407" s="356"/>
      <c r="G407" s="356"/>
      <c r="H407" s="155">
        <f>(H405+H406)*2*H404</f>
        <v>511</v>
      </c>
      <c r="I407" s="67" t="s">
        <v>5</v>
      </c>
      <c r="J407" s="65"/>
      <c r="K407" s="65"/>
      <c r="L407" s="65"/>
    </row>
    <row r="408" spans="1:12" s="54" customFormat="1" ht="12.75" customHeight="1" x14ac:dyDescent="0.2">
      <c r="A408" s="61"/>
      <c r="B408" s="62"/>
      <c r="C408" s="62"/>
      <c r="D408" s="155"/>
      <c r="E408" s="155"/>
      <c r="F408" s="155"/>
      <c r="G408" s="155"/>
      <c r="H408" s="155"/>
      <c r="I408" s="67"/>
      <c r="J408" s="65"/>
      <c r="K408" s="65"/>
      <c r="L408" s="65"/>
    </row>
    <row r="409" spans="1:12" s="54" customFormat="1" ht="12.75" customHeight="1" x14ac:dyDescent="0.2">
      <c r="A409" s="61"/>
      <c r="B409" s="62"/>
      <c r="C409" s="62"/>
      <c r="D409" s="156" t="s">
        <v>367</v>
      </c>
      <c r="E409" s="156"/>
      <c r="F409" s="156"/>
      <c r="G409" s="156"/>
      <c r="H409" s="156"/>
      <c r="I409" s="156"/>
      <c r="J409" s="65"/>
      <c r="K409" s="65"/>
      <c r="L409" s="65"/>
    </row>
    <row r="410" spans="1:12" s="54" customFormat="1" ht="12.75" customHeight="1" x14ac:dyDescent="0.2">
      <c r="A410" s="61"/>
      <c r="B410" s="62"/>
      <c r="C410" s="62"/>
      <c r="D410" s="351" t="s">
        <v>368</v>
      </c>
      <c r="E410" s="351"/>
      <c r="F410" s="351"/>
      <c r="G410" s="351"/>
      <c r="H410" s="157">
        <f>H399</f>
        <v>4.2</v>
      </c>
      <c r="I410" s="66" t="str">
        <f>I399</f>
        <v>m²</v>
      </c>
      <c r="J410" s="65"/>
      <c r="K410" s="65"/>
      <c r="L410" s="65"/>
    </row>
    <row r="411" spans="1:12" s="54" customFormat="1" ht="12.75" customHeight="1" x14ac:dyDescent="0.2">
      <c r="A411" s="61"/>
      <c r="B411" s="62"/>
      <c r="C411" s="62"/>
      <c r="D411" s="356" t="s">
        <v>220</v>
      </c>
      <c r="E411" s="356"/>
      <c r="F411" s="356"/>
      <c r="G411" s="356"/>
      <c r="H411" s="155">
        <f>H410</f>
        <v>4.2</v>
      </c>
      <c r="I411" s="67" t="str">
        <f>I410</f>
        <v>m²</v>
      </c>
      <c r="J411" s="65"/>
      <c r="K411" s="65"/>
      <c r="L411" s="65"/>
    </row>
    <row r="412" spans="1:12" s="54" customFormat="1" ht="12.75" customHeight="1" x14ac:dyDescent="0.2">
      <c r="A412" s="61"/>
      <c r="B412" s="62"/>
      <c r="C412" s="62"/>
      <c r="D412" s="155"/>
      <c r="E412" s="155"/>
      <c r="F412" s="155"/>
      <c r="G412" s="155"/>
      <c r="H412" s="155"/>
      <c r="I412" s="67"/>
      <c r="J412" s="65"/>
      <c r="K412" s="65"/>
      <c r="L412" s="65"/>
    </row>
    <row r="413" spans="1:12" s="54" customFormat="1" ht="12.75" customHeight="1" x14ac:dyDescent="0.2">
      <c r="A413" s="61"/>
      <c r="B413" s="62"/>
      <c r="C413" s="62"/>
      <c r="D413" s="356" t="s">
        <v>227</v>
      </c>
      <c r="E413" s="356"/>
      <c r="F413" s="356"/>
      <c r="G413" s="356"/>
      <c r="H413" s="155">
        <f>H407-H411</f>
        <v>506.8</v>
      </c>
      <c r="I413" s="67" t="s">
        <v>5</v>
      </c>
      <c r="J413" s="65"/>
      <c r="K413" s="65"/>
      <c r="L413" s="65"/>
    </row>
    <row r="414" spans="1:12" s="54" customFormat="1" ht="12.75" customHeight="1" x14ac:dyDescent="0.2">
      <c r="A414" s="61"/>
      <c r="B414" s="62"/>
      <c r="C414" s="62"/>
      <c r="D414" s="237"/>
      <c r="E414" s="237"/>
      <c r="F414" s="237"/>
      <c r="G414" s="237"/>
      <c r="H414" s="237"/>
      <c r="I414" s="67"/>
      <c r="J414" s="65"/>
      <c r="K414" s="65"/>
      <c r="L414" s="65"/>
    </row>
    <row r="415" spans="1:12" s="162" customFormat="1" ht="25.5" customHeight="1" x14ac:dyDescent="0.2">
      <c r="A415" s="71" t="s">
        <v>222</v>
      </c>
      <c r="B415" s="353" t="s">
        <v>423</v>
      </c>
      <c r="C415" s="354"/>
      <c r="D415" s="354"/>
      <c r="E415" s="354"/>
      <c r="F415" s="354"/>
      <c r="G415" s="354" t="s">
        <v>42</v>
      </c>
      <c r="H415" s="354" t="s">
        <v>10</v>
      </c>
      <c r="I415" s="354"/>
      <c r="J415" s="354"/>
      <c r="K415" s="355">
        <v>0</v>
      </c>
      <c r="L415" s="161" t="s">
        <v>169</v>
      </c>
    </row>
    <row r="416" spans="1:12" s="54" customFormat="1" x14ac:dyDescent="0.2">
      <c r="A416" s="61"/>
      <c r="B416" s="62"/>
      <c r="C416" s="62"/>
      <c r="D416" s="62"/>
      <c r="E416" s="62"/>
      <c r="F416" s="62"/>
      <c r="G416" s="63"/>
      <c r="H416" s="64"/>
      <c r="I416" s="65"/>
      <c r="J416" s="65"/>
      <c r="K416" s="65"/>
      <c r="L416" s="65"/>
    </row>
    <row r="417" spans="1:12" s="54" customFormat="1" x14ac:dyDescent="0.2">
      <c r="A417" s="61"/>
      <c r="B417" s="62"/>
      <c r="C417" s="62"/>
      <c r="D417" s="236" t="s">
        <v>426</v>
      </c>
      <c r="E417" s="236"/>
      <c r="F417" s="236"/>
      <c r="G417" s="236"/>
      <c r="H417" s="236"/>
      <c r="I417" s="236"/>
      <c r="J417" s="65"/>
      <c r="K417" s="65"/>
      <c r="L417" s="65"/>
    </row>
    <row r="418" spans="1:12" s="54" customFormat="1" x14ac:dyDescent="0.2">
      <c r="A418" s="61"/>
      <c r="B418" s="62"/>
      <c r="C418" s="62"/>
      <c r="D418" s="350" t="s">
        <v>430</v>
      </c>
      <c r="E418" s="350"/>
      <c r="F418" s="350"/>
      <c r="G418" s="350"/>
      <c r="H418" s="226">
        <f>H94</f>
        <v>50</v>
      </c>
      <c r="I418" s="73" t="s">
        <v>48</v>
      </c>
      <c r="J418" s="65"/>
      <c r="K418" s="65"/>
      <c r="L418" s="65"/>
    </row>
    <row r="419" spans="1:12" s="54" customFormat="1" x14ac:dyDescent="0.2">
      <c r="A419" s="61"/>
      <c r="B419" s="62"/>
      <c r="C419" s="62"/>
      <c r="D419" s="350" t="s">
        <v>427</v>
      </c>
      <c r="E419" s="350"/>
      <c r="F419" s="350"/>
      <c r="G419" s="350"/>
      <c r="H419" s="226">
        <f>H93</f>
        <v>0.7</v>
      </c>
      <c r="I419" s="73" t="s">
        <v>7</v>
      </c>
      <c r="J419" s="65"/>
      <c r="K419" s="65"/>
      <c r="L419" s="65"/>
    </row>
    <row r="420" spans="1:12" s="54" customFormat="1" ht="12.75" customHeight="1" x14ac:dyDescent="0.2">
      <c r="A420" s="61"/>
      <c r="B420" s="62"/>
      <c r="C420" s="62"/>
      <c r="D420" s="350" t="s">
        <v>428</v>
      </c>
      <c r="E420" s="350"/>
      <c r="F420" s="350"/>
      <c r="G420" s="350"/>
      <c r="H420" s="226">
        <f>H280</f>
        <v>0.5</v>
      </c>
      <c r="I420" s="83" t="s">
        <v>7</v>
      </c>
      <c r="J420" s="65"/>
      <c r="K420" s="65"/>
      <c r="L420" s="65"/>
    </row>
    <row r="421" spans="1:12" s="54" customFormat="1" ht="12.75" customHeight="1" x14ac:dyDescent="0.2">
      <c r="A421" s="61"/>
      <c r="B421" s="62"/>
      <c r="C421" s="62"/>
      <c r="D421" s="351" t="s">
        <v>429</v>
      </c>
      <c r="E421" s="351"/>
      <c r="F421" s="351"/>
      <c r="G421" s="351"/>
      <c r="H421" s="238">
        <v>0.05</v>
      </c>
      <c r="I421" s="84" t="s">
        <v>7</v>
      </c>
      <c r="J421" s="65"/>
      <c r="K421" s="65"/>
      <c r="L421" s="65"/>
    </row>
    <row r="422" spans="1:12" s="54" customFormat="1" ht="12.75" customHeight="1" x14ac:dyDescent="0.2">
      <c r="A422" s="61"/>
      <c r="B422" s="62"/>
      <c r="C422" s="62"/>
      <c r="D422" s="356" t="s">
        <v>410</v>
      </c>
      <c r="E422" s="356"/>
      <c r="F422" s="356"/>
      <c r="G422" s="356"/>
      <c r="H422" s="237">
        <f>H418*(H419+H420+H421)</f>
        <v>62.5</v>
      </c>
      <c r="I422" s="67" t="s">
        <v>7</v>
      </c>
      <c r="J422" s="65"/>
      <c r="K422" s="65"/>
      <c r="L422" s="65"/>
    </row>
    <row r="423" spans="1:12" s="54" customFormat="1" ht="12.75" customHeight="1" x14ac:dyDescent="0.2">
      <c r="A423" s="61"/>
      <c r="B423" s="62"/>
      <c r="C423" s="62"/>
      <c r="D423" s="237"/>
      <c r="E423" s="237"/>
      <c r="F423" s="237"/>
      <c r="G423" s="237"/>
      <c r="H423" s="237"/>
      <c r="I423" s="67"/>
      <c r="J423" s="65"/>
      <c r="K423" s="65"/>
      <c r="L423" s="65"/>
    </row>
    <row r="424" spans="1:12" s="54" customFormat="1" ht="26.1" customHeight="1" x14ac:dyDescent="0.2">
      <c r="A424" s="69" t="s">
        <v>223</v>
      </c>
      <c r="B424" s="369" t="s">
        <v>502</v>
      </c>
      <c r="C424" s="370"/>
      <c r="D424" s="370"/>
      <c r="E424" s="370"/>
      <c r="F424" s="370"/>
      <c r="G424" s="370" t="s">
        <v>42</v>
      </c>
      <c r="H424" s="370" t="s">
        <v>10</v>
      </c>
      <c r="I424" s="370"/>
      <c r="J424" s="370"/>
      <c r="K424" s="371">
        <v>0</v>
      </c>
      <c r="L424" s="74" t="s">
        <v>156</v>
      </c>
    </row>
    <row r="425" spans="1:12" s="54" customFormat="1" x14ac:dyDescent="0.2">
      <c r="A425" s="61"/>
      <c r="B425" s="62"/>
      <c r="C425" s="62"/>
      <c r="D425" s="62"/>
      <c r="E425" s="62"/>
      <c r="F425" s="62"/>
      <c r="G425" s="63"/>
      <c r="H425" s="64"/>
      <c r="I425" s="65"/>
      <c r="J425" s="65"/>
      <c r="K425" s="65"/>
      <c r="L425" s="65"/>
    </row>
    <row r="426" spans="1:12" s="54" customFormat="1" x14ac:dyDescent="0.2">
      <c r="A426" s="61"/>
      <c r="B426" s="62"/>
      <c r="C426" s="62"/>
      <c r="D426" s="351" t="s">
        <v>370</v>
      </c>
      <c r="E426" s="351"/>
      <c r="F426" s="351"/>
      <c r="G426" s="351"/>
      <c r="H426" s="157">
        <v>2</v>
      </c>
      <c r="I426" s="66" t="s">
        <v>221</v>
      </c>
      <c r="J426" s="65"/>
      <c r="K426" s="65"/>
      <c r="L426" s="65"/>
    </row>
    <row r="427" spans="1:12" s="54" customFormat="1" x14ac:dyDescent="0.2">
      <c r="A427" s="61"/>
      <c r="B427" s="62"/>
      <c r="C427" s="62"/>
      <c r="D427" s="356" t="s">
        <v>41</v>
      </c>
      <c r="E427" s="356"/>
      <c r="F427" s="356"/>
      <c r="G427" s="356"/>
      <c r="H427" s="155">
        <f>H426</f>
        <v>2</v>
      </c>
      <c r="I427" s="67" t="s">
        <v>221</v>
      </c>
      <c r="J427" s="65"/>
      <c r="K427" s="65"/>
      <c r="L427" s="65"/>
    </row>
    <row r="428" spans="1:12" s="54" customFormat="1" ht="12.75" customHeight="1" x14ac:dyDescent="0.2">
      <c r="A428" s="61"/>
      <c r="B428" s="62"/>
      <c r="C428" s="62"/>
      <c r="D428" s="155"/>
      <c r="E428" s="155"/>
      <c r="F428" s="155"/>
      <c r="G428" s="155"/>
      <c r="H428" s="155"/>
      <c r="I428" s="67"/>
      <c r="J428" s="65"/>
      <c r="K428" s="65"/>
      <c r="L428" s="65"/>
    </row>
    <row r="429" spans="1:12" s="162" customFormat="1" ht="25.5" customHeight="1" x14ac:dyDescent="0.2">
      <c r="A429" s="71" t="s">
        <v>315</v>
      </c>
      <c r="B429" s="353" t="s">
        <v>475</v>
      </c>
      <c r="C429" s="354"/>
      <c r="D429" s="354"/>
      <c r="E429" s="354"/>
      <c r="F429" s="354"/>
      <c r="G429" s="354" t="s">
        <v>42</v>
      </c>
      <c r="H429" s="354" t="s">
        <v>10</v>
      </c>
      <c r="I429" s="354"/>
      <c r="J429" s="354"/>
      <c r="K429" s="355">
        <v>0</v>
      </c>
      <c r="L429" s="161" t="s">
        <v>156</v>
      </c>
    </row>
    <row r="430" spans="1:12" s="54" customFormat="1" x14ac:dyDescent="0.2">
      <c r="A430" s="61"/>
      <c r="B430" s="62"/>
      <c r="C430" s="62"/>
      <c r="D430" s="62"/>
      <c r="E430" s="62"/>
      <c r="F430" s="62"/>
      <c r="G430" s="63"/>
      <c r="H430" s="64"/>
      <c r="I430" s="65"/>
      <c r="J430" s="65"/>
      <c r="K430" s="65"/>
      <c r="L430" s="65"/>
    </row>
    <row r="431" spans="1:12" s="54" customFormat="1" x14ac:dyDescent="0.2">
      <c r="A431" s="61"/>
      <c r="B431" s="62"/>
      <c r="C431" s="62"/>
      <c r="D431" s="351" t="s">
        <v>369</v>
      </c>
      <c r="E431" s="351"/>
      <c r="F431" s="351"/>
      <c r="G431" s="351"/>
      <c r="H431" s="157">
        <v>2</v>
      </c>
      <c r="I431" s="66" t="s">
        <v>476</v>
      </c>
      <c r="J431" s="65"/>
      <c r="K431" s="65"/>
      <c r="L431" s="65"/>
    </row>
    <row r="432" spans="1:12" s="54" customFormat="1" x14ac:dyDescent="0.2">
      <c r="A432" s="61"/>
      <c r="B432" s="62"/>
      <c r="C432" s="62"/>
      <c r="D432" s="356" t="s">
        <v>41</v>
      </c>
      <c r="E432" s="356"/>
      <c r="F432" s="356"/>
      <c r="G432" s="356"/>
      <c r="H432" s="155">
        <f>H431</f>
        <v>2</v>
      </c>
      <c r="I432" s="67" t="s">
        <v>476</v>
      </c>
      <c r="J432" s="65"/>
      <c r="K432" s="65"/>
      <c r="L432" s="65"/>
    </row>
    <row r="433" spans="1:12" s="54" customFormat="1" ht="12.75" customHeight="1" x14ac:dyDescent="0.2">
      <c r="A433" s="61"/>
      <c r="B433" s="62"/>
      <c r="C433" s="62"/>
      <c r="D433" s="155"/>
      <c r="E433" s="155"/>
      <c r="F433" s="155"/>
      <c r="G433" s="155"/>
      <c r="H433" s="155"/>
      <c r="I433" s="67"/>
      <c r="J433" s="65"/>
      <c r="K433" s="65"/>
      <c r="L433" s="65"/>
    </row>
    <row r="434" spans="1:12" s="54" customFormat="1" ht="12.95" customHeight="1" x14ac:dyDescent="0.2">
      <c r="A434" s="69" t="s">
        <v>316</v>
      </c>
      <c r="B434" s="369" t="s">
        <v>396</v>
      </c>
      <c r="C434" s="370"/>
      <c r="D434" s="370"/>
      <c r="E434" s="370"/>
      <c r="F434" s="370"/>
      <c r="G434" s="370" t="s">
        <v>42</v>
      </c>
      <c r="H434" s="370" t="s">
        <v>10</v>
      </c>
      <c r="I434" s="370"/>
      <c r="J434" s="370"/>
      <c r="K434" s="371">
        <v>0</v>
      </c>
      <c r="L434" s="74" t="s">
        <v>287</v>
      </c>
    </row>
    <row r="435" spans="1:12" s="54" customFormat="1" x14ac:dyDescent="0.2">
      <c r="A435" s="61"/>
      <c r="B435" s="62"/>
      <c r="C435" s="62"/>
      <c r="D435" s="62"/>
      <c r="E435" s="62"/>
      <c r="F435" s="62"/>
      <c r="G435" s="63"/>
      <c r="H435" s="64"/>
      <c r="I435" s="65"/>
      <c r="J435" s="65"/>
      <c r="K435" s="65"/>
      <c r="L435" s="65"/>
    </row>
    <row r="436" spans="1:12" s="54" customFormat="1" x14ac:dyDescent="0.2">
      <c r="A436" s="61"/>
      <c r="B436" s="62"/>
      <c r="C436" s="62"/>
      <c r="D436" s="372" t="s">
        <v>397</v>
      </c>
      <c r="E436" s="372"/>
      <c r="F436" s="372"/>
      <c r="G436" s="372"/>
      <c r="H436" s="372"/>
      <c r="I436" s="372"/>
      <c r="J436" s="65"/>
      <c r="K436" s="65"/>
      <c r="L436" s="65"/>
    </row>
    <row r="437" spans="1:12" s="54" customFormat="1" x14ac:dyDescent="0.2">
      <c r="A437" s="61"/>
      <c r="B437" s="62"/>
      <c r="C437" s="62"/>
      <c r="D437" s="351" t="s">
        <v>289</v>
      </c>
      <c r="E437" s="351"/>
      <c r="F437" s="351"/>
      <c r="G437" s="351"/>
      <c r="H437" s="157">
        <f>H77</f>
        <v>80</v>
      </c>
      <c r="I437" s="66" t="s">
        <v>290</v>
      </c>
      <c r="J437" s="65"/>
      <c r="K437" s="65"/>
      <c r="L437" s="65"/>
    </row>
    <row r="438" spans="1:12" s="54" customFormat="1" ht="12.75" customHeight="1" x14ac:dyDescent="0.2">
      <c r="A438" s="61"/>
      <c r="B438" s="62"/>
      <c r="C438" s="62"/>
      <c r="D438" s="352" t="s">
        <v>41</v>
      </c>
      <c r="E438" s="352"/>
      <c r="F438" s="352"/>
      <c r="G438" s="352"/>
      <c r="H438" s="155">
        <f>H437</f>
        <v>80</v>
      </c>
      <c r="I438" s="67" t="s">
        <v>290</v>
      </c>
      <c r="J438" s="65"/>
      <c r="K438" s="65"/>
      <c r="L438" s="65"/>
    </row>
    <row r="439" spans="1:12" s="54" customFormat="1" ht="12.75" customHeight="1" x14ac:dyDescent="0.2">
      <c r="A439" s="61"/>
      <c r="B439" s="62"/>
      <c r="C439" s="62"/>
      <c r="D439" s="166"/>
      <c r="E439" s="166"/>
      <c r="F439" s="166"/>
      <c r="G439" s="166"/>
      <c r="H439" s="155"/>
      <c r="I439" s="67"/>
      <c r="J439" s="65"/>
      <c r="K439" s="65"/>
      <c r="L439" s="65"/>
    </row>
    <row r="440" spans="1:12" s="54" customFormat="1" ht="12.95" customHeight="1" x14ac:dyDescent="0.2">
      <c r="A440" s="71" t="s">
        <v>317</v>
      </c>
      <c r="B440" s="359" t="s">
        <v>225</v>
      </c>
      <c r="C440" s="360"/>
      <c r="D440" s="360"/>
      <c r="E440" s="360"/>
      <c r="F440" s="360"/>
      <c r="G440" s="360" t="s">
        <v>42</v>
      </c>
      <c r="H440" s="360" t="s">
        <v>10</v>
      </c>
      <c r="I440" s="360"/>
      <c r="J440" s="360"/>
      <c r="K440" s="361">
        <v>0</v>
      </c>
      <c r="L440" s="75" t="s">
        <v>61</v>
      </c>
    </row>
    <row r="441" spans="1:12" s="54" customFormat="1" x14ac:dyDescent="0.2">
      <c r="A441" s="61"/>
      <c r="B441" s="62"/>
      <c r="C441" s="62"/>
      <c r="D441" s="62"/>
      <c r="E441" s="62"/>
      <c r="F441" s="62"/>
      <c r="G441" s="63"/>
      <c r="H441" s="64"/>
      <c r="I441" s="65"/>
      <c r="J441" s="65"/>
      <c r="K441" s="65"/>
      <c r="L441" s="65"/>
    </row>
    <row r="442" spans="1:12" s="54" customFormat="1" x14ac:dyDescent="0.2">
      <c r="A442" s="61"/>
      <c r="B442" s="62"/>
      <c r="C442" s="62"/>
      <c r="D442" s="350" t="s">
        <v>224</v>
      </c>
      <c r="E442" s="350"/>
      <c r="F442" s="350"/>
      <c r="G442" s="350"/>
      <c r="H442" s="158">
        <f>H381</f>
        <v>396.67</v>
      </c>
      <c r="I442" s="83" t="s">
        <v>5</v>
      </c>
      <c r="J442" s="65"/>
      <c r="K442" s="65"/>
      <c r="L442" s="65"/>
    </row>
    <row r="443" spans="1:12" s="54" customFormat="1" x14ac:dyDescent="0.2">
      <c r="A443" s="61"/>
      <c r="B443" s="62"/>
      <c r="C443" s="62"/>
      <c r="D443" s="351" t="s">
        <v>226</v>
      </c>
      <c r="E443" s="351"/>
      <c r="F443" s="351"/>
      <c r="G443" s="351"/>
      <c r="H443" s="157">
        <v>0.1</v>
      </c>
      <c r="I443" s="66" t="s">
        <v>10</v>
      </c>
      <c r="J443" s="65"/>
      <c r="K443" s="65"/>
      <c r="L443" s="65"/>
    </row>
    <row r="444" spans="1:12" s="54" customFormat="1" x14ac:dyDescent="0.2">
      <c r="A444" s="61"/>
      <c r="B444" s="62"/>
      <c r="C444" s="62"/>
      <c r="D444" s="352" t="s">
        <v>41</v>
      </c>
      <c r="E444" s="352"/>
      <c r="F444" s="352"/>
      <c r="G444" s="352"/>
      <c r="H444" s="155">
        <f>H442*H443</f>
        <v>39.667000000000002</v>
      </c>
      <c r="I444" s="67" t="s">
        <v>5</v>
      </c>
      <c r="J444" s="65"/>
      <c r="K444" s="65"/>
      <c r="L444" s="65"/>
    </row>
    <row r="445" spans="1:12" s="54" customFormat="1" x14ac:dyDescent="0.2">
      <c r="A445" s="61"/>
      <c r="B445" s="62"/>
      <c r="C445" s="62"/>
      <c r="D445" s="155"/>
      <c r="E445" s="155"/>
      <c r="F445" s="155"/>
      <c r="G445" s="155"/>
      <c r="H445" s="155"/>
      <c r="I445" s="67"/>
      <c r="J445" s="65"/>
      <c r="K445" s="65"/>
      <c r="L445" s="65"/>
    </row>
    <row r="446" spans="1:12" x14ac:dyDescent="0.2">
      <c r="A446" s="375" t="s">
        <v>503</v>
      </c>
      <c r="B446" s="375"/>
      <c r="C446" s="375"/>
      <c r="D446" s="375"/>
      <c r="E446" s="375"/>
      <c r="F446" s="375"/>
      <c r="G446" s="375"/>
      <c r="H446" s="375"/>
      <c r="I446" s="375"/>
      <c r="J446" s="375"/>
      <c r="K446" s="375"/>
      <c r="L446" s="375"/>
    </row>
  </sheetData>
  <mergeCells count="341">
    <mergeCell ref="Y223:Y224"/>
    <mergeCell ref="Y36:Z36"/>
    <mergeCell ref="Y37:Z37"/>
    <mergeCell ref="Y38:Z38"/>
    <mergeCell ref="Y39:Z39"/>
    <mergeCell ref="V38:V43"/>
    <mergeCell ref="Q35:S35"/>
    <mergeCell ref="D195:G195"/>
    <mergeCell ref="D197:G197"/>
    <mergeCell ref="D196:G196"/>
    <mergeCell ref="D205:G205"/>
    <mergeCell ref="D117:I117"/>
    <mergeCell ref="D123:I123"/>
    <mergeCell ref="D125:G125"/>
    <mergeCell ref="D126:G126"/>
    <mergeCell ref="D167:I167"/>
    <mergeCell ref="D135:G135"/>
    <mergeCell ref="B137:K137"/>
    <mergeCell ref="D139:I139"/>
    <mergeCell ref="D140:G140"/>
    <mergeCell ref="D142:G142"/>
    <mergeCell ref="D141:G141"/>
    <mergeCell ref="D219:G219"/>
    <mergeCell ref="D224:G224"/>
    <mergeCell ref="B19:K19"/>
    <mergeCell ref="D22:G22"/>
    <mergeCell ref="D198:G198"/>
    <mergeCell ref="D220:G220"/>
    <mergeCell ref="D225:G225"/>
    <mergeCell ref="D201:G201"/>
    <mergeCell ref="D121:G121"/>
    <mergeCell ref="B115:K115"/>
    <mergeCell ref="D120:G120"/>
    <mergeCell ref="D132:G132"/>
    <mergeCell ref="D133:G133"/>
    <mergeCell ref="D94:G94"/>
    <mergeCell ref="D91:G91"/>
    <mergeCell ref="B80:L80"/>
    <mergeCell ref="D28:G28"/>
    <mergeCell ref="D45:G45"/>
    <mergeCell ref="B48:K48"/>
    <mergeCell ref="D29:G29"/>
    <mergeCell ref="D30:G30"/>
    <mergeCell ref="D188:G188"/>
    <mergeCell ref="B191:L191"/>
    <mergeCell ref="D154:G154"/>
    <mergeCell ref="D155:G155"/>
    <mergeCell ref="B81:K81"/>
    <mergeCell ref="D15:I15"/>
    <mergeCell ref="D21:I21"/>
    <mergeCell ref="D23:G23"/>
    <mergeCell ref="B25:K25"/>
    <mergeCell ref="D27:I27"/>
    <mergeCell ref="A1:A2"/>
    <mergeCell ref="B1:L1"/>
    <mergeCell ref="B2:L2"/>
    <mergeCell ref="A3:L3"/>
    <mergeCell ref="A4:B4"/>
    <mergeCell ref="C4:J4"/>
    <mergeCell ref="A9:L9"/>
    <mergeCell ref="A10:L10"/>
    <mergeCell ref="A11:L11"/>
    <mergeCell ref="A5:L5"/>
    <mergeCell ref="A6:B6"/>
    <mergeCell ref="C6:J6"/>
    <mergeCell ref="A7:L7"/>
    <mergeCell ref="A8:B8"/>
    <mergeCell ref="C8:J8"/>
    <mergeCell ref="B12:L12"/>
    <mergeCell ref="B13:K13"/>
    <mergeCell ref="D16:G16"/>
    <mergeCell ref="D17:G17"/>
    <mergeCell ref="D83:I83"/>
    <mergeCell ref="D86:G86"/>
    <mergeCell ref="D85:G85"/>
    <mergeCell ref="D189:G189"/>
    <mergeCell ref="D107:G107"/>
    <mergeCell ref="D95:G95"/>
    <mergeCell ref="D127:G127"/>
    <mergeCell ref="D130:G130"/>
    <mergeCell ref="D104:G104"/>
    <mergeCell ref="D103:G103"/>
    <mergeCell ref="B144:K144"/>
    <mergeCell ref="D146:I146"/>
    <mergeCell ref="D129:I129"/>
    <mergeCell ref="D131:G131"/>
    <mergeCell ref="D176:G176"/>
    <mergeCell ref="B185:K185"/>
    <mergeCell ref="D169:G169"/>
    <mergeCell ref="D170:G170"/>
    <mergeCell ref="D160:G160"/>
    <mergeCell ref="D177:G177"/>
    <mergeCell ref="D179:I179"/>
    <mergeCell ref="D180:G180"/>
    <mergeCell ref="D183:G183"/>
    <mergeCell ref="D181:G181"/>
    <mergeCell ref="D31:G31"/>
    <mergeCell ref="B33:K33"/>
    <mergeCell ref="D35:I35"/>
    <mergeCell ref="D36:G36"/>
    <mergeCell ref="D44:G44"/>
    <mergeCell ref="B97:K97"/>
    <mergeCell ref="D99:I99"/>
    <mergeCell ref="D100:G100"/>
    <mergeCell ref="D101:G101"/>
    <mergeCell ref="D50:I50"/>
    <mergeCell ref="D65:G65"/>
    <mergeCell ref="D66:G66"/>
    <mergeCell ref="B62:K62"/>
    <mergeCell ref="D64:I64"/>
    <mergeCell ref="D72:G72"/>
    <mergeCell ref="B68:K68"/>
    <mergeCell ref="D70:I70"/>
    <mergeCell ref="B74:K74"/>
    <mergeCell ref="D76:I76"/>
    <mergeCell ref="D77:G77"/>
    <mergeCell ref="D46:G46"/>
    <mergeCell ref="D84:G84"/>
    <mergeCell ref="B55:K55"/>
    <mergeCell ref="D57:I57"/>
    <mergeCell ref="D199:G199"/>
    <mergeCell ref="D200:G200"/>
    <mergeCell ref="D148:G148"/>
    <mergeCell ref="D153:I153"/>
    <mergeCell ref="D163:G163"/>
    <mergeCell ref="B216:K216"/>
    <mergeCell ref="D218:I218"/>
    <mergeCell ref="D168:G168"/>
    <mergeCell ref="D51:G51"/>
    <mergeCell ref="D52:G52"/>
    <mergeCell ref="D53:G53"/>
    <mergeCell ref="D71:G71"/>
    <mergeCell ref="D78:G78"/>
    <mergeCell ref="D90:I90"/>
    <mergeCell ref="D93:G93"/>
    <mergeCell ref="D92:G92"/>
    <mergeCell ref="B88:K88"/>
    <mergeCell ref="B151:K151"/>
    <mergeCell ref="D149:G149"/>
    <mergeCell ref="D118:G118"/>
    <mergeCell ref="D119:G119"/>
    <mergeCell ref="D106:I106"/>
    <mergeCell ref="D109:G109"/>
    <mergeCell ref="B165:K165"/>
    <mergeCell ref="D249:G249"/>
    <mergeCell ref="D221:G221"/>
    <mergeCell ref="D223:I223"/>
    <mergeCell ref="D228:I228"/>
    <mergeCell ref="D229:G229"/>
    <mergeCell ref="D230:G230"/>
    <mergeCell ref="D231:G231"/>
    <mergeCell ref="D233:G233"/>
    <mergeCell ref="B235:K235"/>
    <mergeCell ref="D237:I237"/>
    <mergeCell ref="D226:G226"/>
    <mergeCell ref="D239:G239"/>
    <mergeCell ref="B254:K254"/>
    <mergeCell ref="D256:I256"/>
    <mergeCell ref="D257:G257"/>
    <mergeCell ref="D250:G250"/>
    <mergeCell ref="D252:G252"/>
    <mergeCell ref="B192:K192"/>
    <mergeCell ref="D194:I194"/>
    <mergeCell ref="D202:G202"/>
    <mergeCell ref="D204:I204"/>
    <mergeCell ref="D206:G206"/>
    <mergeCell ref="D207:G207"/>
    <mergeCell ref="D209:I209"/>
    <mergeCell ref="D210:G210"/>
    <mergeCell ref="D211:G211"/>
    <mergeCell ref="D212:G212"/>
    <mergeCell ref="D214:G214"/>
    <mergeCell ref="D238:G238"/>
    <mergeCell ref="D240:G240"/>
    <mergeCell ref="D242:I242"/>
    <mergeCell ref="D243:G243"/>
    <mergeCell ref="D244:G244"/>
    <mergeCell ref="D245:G245"/>
    <mergeCell ref="D247:I247"/>
    <mergeCell ref="D248:G248"/>
    <mergeCell ref="D276:G276"/>
    <mergeCell ref="D277:G277"/>
    <mergeCell ref="D278:G278"/>
    <mergeCell ref="D279:G279"/>
    <mergeCell ref="D258:G258"/>
    <mergeCell ref="D259:G259"/>
    <mergeCell ref="D260:G260"/>
    <mergeCell ref="B262:K262"/>
    <mergeCell ref="D264:I264"/>
    <mergeCell ref="D265:G265"/>
    <mergeCell ref="D266:G266"/>
    <mergeCell ref="D267:G267"/>
    <mergeCell ref="D268:G268"/>
    <mergeCell ref="B440:K440"/>
    <mergeCell ref="D442:G442"/>
    <mergeCell ref="D443:G443"/>
    <mergeCell ref="D444:G444"/>
    <mergeCell ref="A446:L446"/>
    <mergeCell ref="B384:K384"/>
    <mergeCell ref="D386:G386"/>
    <mergeCell ref="D387:G387"/>
    <mergeCell ref="D388:G388"/>
    <mergeCell ref="B393:K393"/>
    <mergeCell ref="D397:G397"/>
    <mergeCell ref="D398:G398"/>
    <mergeCell ref="D399:G399"/>
    <mergeCell ref="B424:K424"/>
    <mergeCell ref="D426:G426"/>
    <mergeCell ref="D427:G427"/>
    <mergeCell ref="B429:K429"/>
    <mergeCell ref="D406:G406"/>
    <mergeCell ref="D407:G407"/>
    <mergeCell ref="D410:G410"/>
    <mergeCell ref="D411:G411"/>
    <mergeCell ref="D413:G413"/>
    <mergeCell ref="D438:G438"/>
    <mergeCell ref="D437:G437"/>
    <mergeCell ref="D110:G110"/>
    <mergeCell ref="D111:G111"/>
    <mergeCell ref="D113:G113"/>
    <mergeCell ref="D108:G108"/>
    <mergeCell ref="D102:G102"/>
    <mergeCell ref="D124:G124"/>
    <mergeCell ref="D159:I159"/>
    <mergeCell ref="D161:G161"/>
    <mergeCell ref="D175:G175"/>
    <mergeCell ref="D147:G147"/>
    <mergeCell ref="D157:G157"/>
    <mergeCell ref="B172:K172"/>
    <mergeCell ref="D174:I174"/>
    <mergeCell ref="D156:G156"/>
    <mergeCell ref="D187:G187"/>
    <mergeCell ref="D332:G332"/>
    <mergeCell ref="D336:G336"/>
    <mergeCell ref="B434:K434"/>
    <mergeCell ref="D431:G431"/>
    <mergeCell ref="D351:I351"/>
    <mergeCell ref="D390:G390"/>
    <mergeCell ref="B315:K315"/>
    <mergeCell ref="D317:I317"/>
    <mergeCell ref="B322:K322"/>
    <mergeCell ref="D324:I324"/>
    <mergeCell ref="D326:G326"/>
    <mergeCell ref="B369:K369"/>
    <mergeCell ref="D371:G371"/>
    <mergeCell ref="D372:G372"/>
    <mergeCell ref="D373:G373"/>
    <mergeCell ref="D353:G353"/>
    <mergeCell ref="D354:G354"/>
    <mergeCell ref="D365:G365"/>
    <mergeCell ref="D355:G355"/>
    <mergeCell ref="D356:G356"/>
    <mergeCell ref="D359:G359"/>
    <mergeCell ref="D360:G360"/>
    <mergeCell ref="D344:G344"/>
    <mergeCell ref="D436:I436"/>
    <mergeCell ref="D375:G375"/>
    <mergeCell ref="D432:G432"/>
    <mergeCell ref="B392:L392"/>
    <mergeCell ref="B401:K401"/>
    <mergeCell ref="D404:G404"/>
    <mergeCell ref="D396:G396"/>
    <mergeCell ref="D405:G405"/>
    <mergeCell ref="B377:L377"/>
    <mergeCell ref="B378:K378"/>
    <mergeCell ref="D380:I380"/>
    <mergeCell ref="D381:G381"/>
    <mergeCell ref="D382:G382"/>
    <mergeCell ref="D418:G418"/>
    <mergeCell ref="B415:K415"/>
    <mergeCell ref="D419:G419"/>
    <mergeCell ref="D420:G420"/>
    <mergeCell ref="D421:G421"/>
    <mergeCell ref="D422:G422"/>
    <mergeCell ref="D345:G345"/>
    <mergeCell ref="D347:G347"/>
    <mergeCell ref="B349:K349"/>
    <mergeCell ref="D367:G367"/>
    <mergeCell ref="D333:G333"/>
    <mergeCell ref="D334:G334"/>
    <mergeCell ref="D335:G335"/>
    <mergeCell ref="D340:G340"/>
    <mergeCell ref="D341:G341"/>
    <mergeCell ref="D352:G352"/>
    <mergeCell ref="D338:I338"/>
    <mergeCell ref="D339:G339"/>
    <mergeCell ref="D342:G342"/>
    <mergeCell ref="D343:G343"/>
    <mergeCell ref="D361:G361"/>
    <mergeCell ref="D362:G362"/>
    <mergeCell ref="D363:G363"/>
    <mergeCell ref="D364:G364"/>
    <mergeCell ref="D358:I358"/>
    <mergeCell ref="D37:G37"/>
    <mergeCell ref="D331:I331"/>
    <mergeCell ref="D304:G304"/>
    <mergeCell ref="B292:K292"/>
    <mergeCell ref="D294:I294"/>
    <mergeCell ref="D295:G295"/>
    <mergeCell ref="D296:G296"/>
    <mergeCell ref="D297:G297"/>
    <mergeCell ref="B299:K299"/>
    <mergeCell ref="D301:I301"/>
    <mergeCell ref="D302:G302"/>
    <mergeCell ref="D303:G303"/>
    <mergeCell ref="D311:G311"/>
    <mergeCell ref="D318:G318"/>
    <mergeCell ref="D319:G319"/>
    <mergeCell ref="D320:G320"/>
    <mergeCell ref="B306:K306"/>
    <mergeCell ref="D308:I308"/>
    <mergeCell ref="D309:G309"/>
    <mergeCell ref="D310:G310"/>
    <mergeCell ref="D327:G327"/>
    <mergeCell ref="D325:G325"/>
    <mergeCell ref="D312:G312"/>
    <mergeCell ref="B314:L314"/>
    <mergeCell ref="D58:G58"/>
    <mergeCell ref="D59:G59"/>
    <mergeCell ref="D60:G60"/>
    <mergeCell ref="B329:K329"/>
    <mergeCell ref="D38:G38"/>
    <mergeCell ref="D39:G39"/>
    <mergeCell ref="D40:G40"/>
    <mergeCell ref="D41:G41"/>
    <mergeCell ref="D42:G42"/>
    <mergeCell ref="D43:G43"/>
    <mergeCell ref="D280:G280"/>
    <mergeCell ref="D281:G281"/>
    <mergeCell ref="B283:L283"/>
    <mergeCell ref="B284:K284"/>
    <mergeCell ref="D286:I286"/>
    <mergeCell ref="D287:G287"/>
    <mergeCell ref="D288:G288"/>
    <mergeCell ref="D289:G289"/>
    <mergeCell ref="B291:L291"/>
    <mergeCell ref="D269:G269"/>
    <mergeCell ref="B271:L271"/>
    <mergeCell ref="B272:K272"/>
    <mergeCell ref="D274:I274"/>
    <mergeCell ref="D275:G275"/>
  </mergeCells>
  <printOptions horizontalCentered="1"/>
  <pageMargins left="0.39370078740157483" right="0.39370078740157483" top="0.39370078740157483" bottom="0.39370078740157483" header="0" footer="0"/>
  <pageSetup scale="7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topLeftCell="A34" zoomScaleNormal="100" zoomScaleSheetLayoutView="100" workbookViewId="0">
      <selection activeCell="G60" sqref="G60"/>
    </sheetView>
  </sheetViews>
  <sheetFormatPr defaultRowHeight="12" x14ac:dyDescent="0.2"/>
  <cols>
    <col min="1" max="1" width="5.7109375" style="43" customWidth="1"/>
    <col min="2" max="2" width="11.5703125" style="43" customWidth="1"/>
    <col min="3" max="3" width="42.140625" style="43" customWidth="1"/>
    <col min="4" max="4" width="5.7109375" style="206" customWidth="1"/>
    <col min="5" max="5" width="13.7109375" style="206" customWidth="1"/>
    <col min="6" max="8" width="13.7109375" style="43" customWidth="1"/>
    <col min="9" max="16384" width="9.140625" style="43"/>
  </cols>
  <sheetData>
    <row r="1" spans="1:12" s="182" customFormat="1" ht="15.75" customHeight="1" x14ac:dyDescent="0.2">
      <c r="A1" s="420"/>
      <c r="B1" s="420"/>
      <c r="C1" s="421" t="str">
        <f>[2]MEMÓRIA!$B$1</f>
        <v>MINISTÉRIO DA EDUCAÇÃO - SECRETARIA DE EDUCAÇÃO PROFISSIONAL E TECNOLÓGICA</v>
      </c>
      <c r="D1" s="421"/>
      <c r="E1" s="421"/>
      <c r="F1" s="421"/>
      <c r="G1" s="421"/>
      <c r="H1" s="421"/>
      <c r="I1" s="181"/>
      <c r="J1" s="181"/>
      <c r="K1" s="181"/>
      <c r="L1" s="181"/>
    </row>
    <row r="2" spans="1:12" s="182" customFormat="1" ht="15.75" customHeight="1" x14ac:dyDescent="0.2">
      <c r="A2" s="420"/>
      <c r="B2" s="420"/>
      <c r="C2" s="421" t="str">
        <f>[2]MEMÓRIA!$B$2</f>
        <v>INSTITUTO FEDERAL DE EDUCAÇÃO, CIÊNCIA E TECNOLÓGIA DO RIO GRANDE DO NORTE - CAMPUS NOVA CRUZ</v>
      </c>
      <c r="D2" s="421"/>
      <c r="E2" s="421"/>
      <c r="F2" s="421"/>
      <c r="G2" s="421"/>
      <c r="H2" s="421"/>
      <c r="I2" s="181"/>
      <c r="J2" s="181"/>
      <c r="K2" s="181"/>
      <c r="L2" s="181"/>
    </row>
    <row r="3" spans="1:12" s="185" customFormat="1" ht="5.0999999999999996" customHeight="1" x14ac:dyDescent="0.2">
      <c r="A3" s="183"/>
      <c r="B3" s="417"/>
      <c r="C3" s="417"/>
      <c r="D3" s="417"/>
      <c r="E3" s="417"/>
      <c r="F3" s="417"/>
      <c r="G3" s="417"/>
      <c r="H3" s="184"/>
    </row>
    <row r="4" spans="1:12" s="185" customFormat="1" ht="15" customHeight="1" x14ac:dyDescent="0.2">
      <c r="A4" s="418" t="str">
        <f>[3]ORÇAMENTO!A4</f>
        <v>OBRA/SERVIÇOS:</v>
      </c>
      <c r="B4" s="418"/>
      <c r="C4" s="419" t="str">
        <f>MEMÓRIA!C4</f>
        <v>CONSTRUÇÃO DE UMA ARENA DE BEACH SOCCER.</v>
      </c>
      <c r="D4" s="417"/>
      <c r="E4" s="417"/>
      <c r="F4" s="417"/>
      <c r="G4" s="417"/>
      <c r="H4" s="417"/>
    </row>
    <row r="5" spans="1:12" s="185" customFormat="1" ht="5.0999999999999996" customHeight="1" x14ac:dyDescent="0.2">
      <c r="A5" s="186"/>
      <c r="B5" s="417"/>
      <c r="C5" s="417"/>
      <c r="D5" s="417"/>
      <c r="E5" s="417"/>
      <c r="F5" s="417"/>
      <c r="G5" s="417"/>
      <c r="H5" s="187"/>
    </row>
    <row r="6" spans="1:12" s="185" customFormat="1" ht="15" customHeight="1" x14ac:dyDescent="0.2">
      <c r="A6" s="418" t="str">
        <f>[3]ORÇAMENTO!A6</f>
        <v>LOCAL DA OBRA:</v>
      </c>
      <c r="B6" s="418"/>
      <c r="C6" s="419" t="str">
        <f>MEMÓRIA!C6</f>
        <v>IFRN - CAMPUS NOVA CRUZ/RN.</v>
      </c>
      <c r="D6" s="417"/>
      <c r="E6" s="417"/>
      <c r="F6" s="417"/>
      <c r="G6" s="417"/>
      <c r="H6" s="417"/>
    </row>
    <row r="7" spans="1:12" s="185" customFormat="1" ht="5.0999999999999996" customHeight="1" x14ac:dyDescent="0.2">
      <c r="A7" s="233"/>
      <c r="B7" s="184"/>
      <c r="C7" s="419"/>
      <c r="D7" s="417"/>
      <c r="E7" s="417"/>
      <c r="F7" s="417"/>
      <c r="G7" s="417"/>
      <c r="H7" s="417"/>
    </row>
    <row r="8" spans="1:12" s="185" customFormat="1" ht="15" customHeight="1" x14ac:dyDescent="0.2">
      <c r="A8" s="418" t="str">
        <f>[3]ORÇAMENTO!A8</f>
        <v>ÁREA CONSTRUÍDA:</v>
      </c>
      <c r="B8" s="418"/>
      <c r="C8" s="419" t="str">
        <f>MEMÓRIA!C8</f>
        <v>1.770,48 m²</v>
      </c>
      <c r="D8" s="417"/>
      <c r="E8" s="417"/>
      <c r="F8" s="417"/>
      <c r="G8" s="417"/>
      <c r="H8" s="417"/>
    </row>
    <row r="10" spans="1:12" ht="15.95" customHeight="1" x14ac:dyDescent="0.2">
      <c r="A10" s="406" t="s">
        <v>63</v>
      </c>
      <c r="B10" s="406"/>
      <c r="C10" s="406"/>
      <c r="D10" s="406"/>
      <c r="E10" s="406"/>
      <c r="F10" s="406"/>
      <c r="G10" s="406"/>
      <c r="H10" s="406"/>
    </row>
    <row r="11" spans="1:12" ht="15.95" customHeight="1" x14ac:dyDescent="0.2">
      <c r="A11" s="188"/>
      <c r="B11" s="188"/>
      <c r="C11" s="188"/>
      <c r="D11" s="188"/>
      <c r="E11" s="188"/>
      <c r="F11" s="188"/>
    </row>
    <row r="12" spans="1:12" s="189" customFormat="1" ht="15.95" customHeight="1" x14ac:dyDescent="0.2">
      <c r="A12" s="407" t="str">
        <f>[3]ORÇAMENTO!A12</f>
        <v>ÍTEM</v>
      </c>
      <c r="B12" s="409" t="s">
        <v>64</v>
      </c>
      <c r="C12" s="410"/>
      <c r="D12" s="411"/>
      <c r="E12" s="415" t="s">
        <v>398</v>
      </c>
      <c r="F12" s="416"/>
      <c r="G12" s="415" t="s">
        <v>399</v>
      </c>
      <c r="H12" s="416"/>
    </row>
    <row r="13" spans="1:12" s="189" customFormat="1" ht="32.1" customHeight="1" x14ac:dyDescent="0.2">
      <c r="A13" s="408"/>
      <c r="B13" s="412"/>
      <c r="C13" s="413"/>
      <c r="D13" s="414"/>
      <c r="E13" s="190" t="s">
        <v>65</v>
      </c>
      <c r="F13" s="190" t="s">
        <v>66</v>
      </c>
      <c r="G13" s="190" t="s">
        <v>65</v>
      </c>
      <c r="H13" s="190" t="s">
        <v>66</v>
      </c>
    </row>
    <row r="14" spans="1:12" ht="15.95" customHeight="1" x14ac:dyDescent="0.2">
      <c r="A14" s="191">
        <v>1</v>
      </c>
      <c r="B14" s="402" t="s">
        <v>67</v>
      </c>
      <c r="C14" s="403"/>
      <c r="D14" s="191" t="s">
        <v>68</v>
      </c>
      <c r="E14" s="192">
        <v>0.03</v>
      </c>
      <c r="F14" s="192">
        <v>1.4999999999999999E-2</v>
      </c>
      <c r="G14" s="192">
        <v>0.03</v>
      </c>
      <c r="H14" s="192">
        <v>1.4999999999999999E-2</v>
      </c>
    </row>
    <row r="15" spans="1:12" ht="15.95" customHeight="1" x14ac:dyDescent="0.2">
      <c r="A15" s="191">
        <v>2</v>
      </c>
      <c r="B15" s="402" t="s">
        <v>69</v>
      </c>
      <c r="C15" s="403"/>
      <c r="D15" s="191" t="s">
        <v>70</v>
      </c>
      <c r="E15" s="192">
        <v>5.8999999999999999E-3</v>
      </c>
      <c r="F15" s="192">
        <v>8.5000000000000006E-3</v>
      </c>
      <c r="G15" s="192">
        <v>5.8999999999999999E-3</v>
      </c>
      <c r="H15" s="192">
        <v>8.5000000000000006E-3</v>
      </c>
    </row>
    <row r="16" spans="1:12" ht="15.95" customHeight="1" x14ac:dyDescent="0.2">
      <c r="A16" s="191">
        <v>3</v>
      </c>
      <c r="B16" s="402" t="s">
        <v>71</v>
      </c>
      <c r="C16" s="403"/>
      <c r="D16" s="191" t="s">
        <v>72</v>
      </c>
      <c r="E16" s="193">
        <v>8.0000000000000002E-3</v>
      </c>
      <c r="F16" s="193">
        <v>3.0000000000000001E-3</v>
      </c>
      <c r="G16" s="193">
        <v>8.0000000000000002E-3</v>
      </c>
      <c r="H16" s="193">
        <v>3.0000000000000001E-3</v>
      </c>
    </row>
    <row r="17" spans="1:8" ht="15.95" customHeight="1" x14ac:dyDescent="0.2">
      <c r="A17" s="191">
        <v>4</v>
      </c>
      <c r="B17" s="402" t="s">
        <v>73</v>
      </c>
      <c r="C17" s="403"/>
      <c r="D17" s="191" t="s">
        <v>74</v>
      </c>
      <c r="E17" s="193">
        <v>9.7000000000000003E-3</v>
      </c>
      <c r="F17" s="193">
        <v>5.5999999999999999E-3</v>
      </c>
      <c r="G17" s="193">
        <v>9.7000000000000003E-3</v>
      </c>
      <c r="H17" s="193">
        <v>5.5999999999999999E-3</v>
      </c>
    </row>
    <row r="18" spans="1:8" ht="15.95" customHeight="1" x14ac:dyDescent="0.2">
      <c r="A18" s="191">
        <v>5</v>
      </c>
      <c r="B18" s="402" t="s">
        <v>75</v>
      </c>
      <c r="C18" s="403"/>
      <c r="D18" s="191" t="s">
        <v>62</v>
      </c>
      <c r="E18" s="193">
        <v>6.1600000000000002E-2</v>
      </c>
      <c r="F18" s="193">
        <v>3.5000000000000003E-2</v>
      </c>
      <c r="G18" s="193">
        <v>6.1600000000000002E-2</v>
      </c>
      <c r="H18" s="193">
        <v>3.5000000000000003E-2</v>
      </c>
    </row>
    <row r="19" spans="1:8" ht="15.95" customHeight="1" x14ac:dyDescent="0.2">
      <c r="A19" s="191">
        <v>6</v>
      </c>
      <c r="B19" s="404" t="s">
        <v>400</v>
      </c>
      <c r="C19" s="405"/>
      <c r="D19" s="191" t="s">
        <v>76</v>
      </c>
      <c r="E19" s="194">
        <f>SUM(E20:E23)</f>
        <v>0.13150000000000001</v>
      </c>
      <c r="F19" s="194">
        <f>SUM(F20:F23)</f>
        <v>3.6499999999999998E-2</v>
      </c>
      <c r="G19" s="194">
        <f>SUM(G20:G23)</f>
        <v>8.6500000000000007E-2</v>
      </c>
      <c r="H19" s="194">
        <f>SUM(H20:H23)</f>
        <v>3.6499999999999998E-2</v>
      </c>
    </row>
    <row r="20" spans="1:8" ht="15.95" customHeight="1" x14ac:dyDescent="0.2">
      <c r="A20" s="191" t="s">
        <v>20</v>
      </c>
      <c r="B20" s="402" t="s">
        <v>77</v>
      </c>
      <c r="C20" s="403"/>
      <c r="D20" s="191" t="s">
        <v>78</v>
      </c>
      <c r="E20" s="192">
        <v>0.03</v>
      </c>
      <c r="F20" s="192">
        <v>0.03</v>
      </c>
      <c r="G20" s="192">
        <v>0.03</v>
      </c>
      <c r="H20" s="192">
        <v>0.03</v>
      </c>
    </row>
    <row r="21" spans="1:8" ht="15.95" customHeight="1" x14ac:dyDescent="0.2">
      <c r="A21" s="191" t="s">
        <v>22</v>
      </c>
      <c r="B21" s="402" t="s">
        <v>79</v>
      </c>
      <c r="C21" s="403"/>
      <c r="D21" s="191" t="s">
        <v>80</v>
      </c>
      <c r="E21" s="195">
        <v>0.05</v>
      </c>
      <c r="F21" s="196">
        <v>0</v>
      </c>
      <c r="G21" s="195">
        <v>0.05</v>
      </c>
      <c r="H21" s="196">
        <v>0</v>
      </c>
    </row>
    <row r="22" spans="1:8" ht="15.95" customHeight="1" x14ac:dyDescent="0.2">
      <c r="A22" s="191" t="s">
        <v>81</v>
      </c>
      <c r="B22" s="402" t="s">
        <v>82</v>
      </c>
      <c r="C22" s="403"/>
      <c r="D22" s="191" t="s">
        <v>83</v>
      </c>
      <c r="E22" s="192">
        <v>6.4999999999999997E-3</v>
      </c>
      <c r="F22" s="192">
        <v>6.4999999999999997E-3</v>
      </c>
      <c r="G22" s="192">
        <v>6.4999999999999997E-3</v>
      </c>
      <c r="H22" s="192">
        <v>6.4999999999999997E-3</v>
      </c>
    </row>
    <row r="23" spans="1:8" ht="15.95" customHeight="1" x14ac:dyDescent="0.2">
      <c r="A23" s="191" t="s">
        <v>84</v>
      </c>
      <c r="B23" s="402" t="s">
        <v>85</v>
      </c>
      <c r="C23" s="403"/>
      <c r="D23" s="191" t="s">
        <v>86</v>
      </c>
      <c r="E23" s="192">
        <v>4.4999999999999998E-2</v>
      </c>
      <c r="F23" s="196">
        <v>0</v>
      </c>
      <c r="G23" s="192">
        <v>0</v>
      </c>
      <c r="H23" s="196">
        <v>0</v>
      </c>
    </row>
    <row r="24" spans="1:8" s="199" customFormat="1" ht="15.95" customHeight="1" x14ac:dyDescent="0.2">
      <c r="A24" s="197"/>
      <c r="B24" s="404" t="s">
        <v>87</v>
      </c>
      <c r="C24" s="405"/>
      <c r="D24" s="197"/>
      <c r="E24" s="198">
        <f>(((1+(E14+E16+E17))*(1+(E15))*(1+(E18))/(1-E19))-1)</f>
        <v>0.2881986483454233</v>
      </c>
      <c r="F24" s="198">
        <f>(((1+(F14+F16+F17))*(1+(F15))*(1+(F18))/(1-F19))-1)</f>
        <v>0.10890619719771677</v>
      </c>
      <c r="G24" s="198">
        <f>(((1+(G14+G16+G17))*(1+(G15))*(1+(G18))/(1-G19))-1)</f>
        <v>0.22474058685057496</v>
      </c>
      <c r="H24" s="198">
        <f>(((1+(H14+H16+H17))*(1+(H15))*(1+(H18))/(1-H19))-1)</f>
        <v>0.10890619719771677</v>
      </c>
    </row>
    <row r="25" spans="1:8" s="199" customFormat="1" ht="15.95" customHeight="1" x14ac:dyDescent="0.2">
      <c r="A25" s="200"/>
      <c r="B25" s="200"/>
      <c r="C25" s="201"/>
    </row>
    <row r="26" spans="1:8" s="199" customFormat="1" ht="32.1" customHeight="1" x14ac:dyDescent="0.2">
      <c r="A26" s="398"/>
      <c r="B26" s="398"/>
      <c r="C26" s="398"/>
      <c r="D26" s="398"/>
      <c r="E26" s="398"/>
      <c r="F26" s="398"/>
      <c r="G26" s="398"/>
      <c r="H26" s="398"/>
    </row>
    <row r="27" spans="1:8" ht="15.95" customHeight="1" x14ac:dyDescent="0.2">
      <c r="A27" s="200"/>
      <c r="B27" s="200"/>
      <c r="C27" s="200"/>
      <c r="D27" s="200"/>
      <c r="E27" s="200"/>
      <c r="F27" s="200"/>
      <c r="G27" s="200"/>
      <c r="H27" s="200"/>
    </row>
    <row r="28" spans="1:8" ht="15.95" customHeight="1" x14ac:dyDescent="0.2">
      <c r="A28" s="398" t="s">
        <v>401</v>
      </c>
      <c r="B28" s="398"/>
      <c r="C28" s="398"/>
      <c r="D28" s="398"/>
      <c r="E28" s="398"/>
      <c r="F28" s="398"/>
      <c r="G28" s="398"/>
      <c r="H28" s="398"/>
    </row>
    <row r="29" spans="1:8" ht="15.95" customHeight="1" x14ac:dyDescent="0.2">
      <c r="A29" s="200"/>
      <c r="B29" s="200"/>
      <c r="C29" s="200"/>
      <c r="D29" s="200"/>
      <c r="E29" s="200"/>
      <c r="F29" s="200"/>
      <c r="G29" s="200"/>
      <c r="H29" s="200"/>
    </row>
    <row r="30" spans="1:8" s="199" customFormat="1" ht="15.95" customHeight="1" x14ac:dyDescent="0.2">
      <c r="A30" s="201" t="s">
        <v>402</v>
      </c>
      <c r="B30" s="201"/>
      <c r="C30" s="398"/>
      <c r="D30" s="398"/>
      <c r="E30" s="398"/>
      <c r="F30" s="398"/>
      <c r="G30" s="201"/>
      <c r="H30" s="201"/>
    </row>
    <row r="31" spans="1:8" s="199" customFormat="1" ht="15.95" customHeight="1" x14ac:dyDescent="0.2">
      <c r="A31" s="201" t="s">
        <v>88</v>
      </c>
      <c r="B31" s="201"/>
      <c r="C31" s="201"/>
    </row>
    <row r="32" spans="1:8" s="199" customFormat="1" ht="15.95" customHeight="1" x14ac:dyDescent="0.2">
      <c r="A32" s="201" t="s">
        <v>89</v>
      </c>
      <c r="B32" s="201"/>
      <c r="C32" s="201"/>
    </row>
    <row r="33" spans="1:8" s="199" customFormat="1" ht="15.95" customHeight="1" x14ac:dyDescent="0.2">
      <c r="A33" s="201" t="s">
        <v>90</v>
      </c>
      <c r="B33" s="201"/>
      <c r="C33" s="201"/>
    </row>
    <row r="34" spans="1:8" s="199" customFormat="1" ht="15.95" customHeight="1" x14ac:dyDescent="0.2">
      <c r="A34" s="201" t="s">
        <v>91</v>
      </c>
      <c r="B34" s="201"/>
      <c r="C34" s="201"/>
    </row>
    <row r="35" spans="1:8" s="199" customFormat="1" ht="15.95" customHeight="1" x14ac:dyDescent="0.2">
      <c r="A35" s="201" t="s">
        <v>92</v>
      </c>
      <c r="B35" s="201"/>
      <c r="C35" s="201"/>
    </row>
    <row r="36" spans="1:8" s="199" customFormat="1" ht="15.95" customHeight="1" x14ac:dyDescent="0.2">
      <c r="A36" s="201" t="s">
        <v>93</v>
      </c>
      <c r="B36" s="201"/>
      <c r="C36" s="201"/>
    </row>
    <row r="37" spans="1:8" s="199" customFormat="1" ht="15.95" customHeight="1" x14ac:dyDescent="0.2">
      <c r="A37" s="201" t="s">
        <v>94</v>
      </c>
      <c r="B37" s="201"/>
      <c r="C37" s="201"/>
    </row>
    <row r="38" spans="1:8" s="199" customFormat="1" ht="15.95" customHeight="1" x14ac:dyDescent="0.2">
      <c r="A38" s="201" t="s">
        <v>95</v>
      </c>
      <c r="B38" s="201"/>
      <c r="C38" s="201"/>
    </row>
    <row r="39" spans="1:8" s="199" customFormat="1" ht="15.95" customHeight="1" x14ac:dyDescent="0.2">
      <c r="A39" s="200"/>
      <c r="B39" s="200"/>
      <c r="C39" s="201"/>
    </row>
    <row r="40" spans="1:8" s="199" customFormat="1" ht="15.95" customHeight="1" x14ac:dyDescent="0.2">
      <c r="A40" s="399" t="s">
        <v>96</v>
      </c>
      <c r="B40" s="399"/>
      <c r="C40" s="399"/>
      <c r="D40" s="399"/>
      <c r="E40" s="399"/>
      <c r="F40" s="399"/>
      <c r="G40" s="399"/>
      <c r="H40" s="399"/>
    </row>
    <row r="41" spans="1:8" s="199" customFormat="1" ht="15.95" customHeight="1" x14ac:dyDescent="0.2">
      <c r="A41" s="200"/>
      <c r="B41" s="200"/>
      <c r="C41" s="201"/>
    </row>
    <row r="42" spans="1:8" s="202" customFormat="1" ht="63.95" customHeight="1" x14ac:dyDescent="0.2">
      <c r="A42" s="400" t="s">
        <v>403</v>
      </c>
      <c r="B42" s="400"/>
      <c r="C42" s="400"/>
      <c r="D42" s="400"/>
      <c r="E42" s="400"/>
      <c r="F42" s="400"/>
      <c r="G42" s="400"/>
      <c r="H42" s="400"/>
    </row>
    <row r="43" spans="1:8" x14ac:dyDescent="0.2">
      <c r="C43" s="203"/>
      <c r="D43" s="204"/>
      <c r="E43" s="204"/>
      <c r="F43" s="205"/>
    </row>
    <row r="44" spans="1:8" ht="15" customHeight="1" x14ac:dyDescent="0.2">
      <c r="A44" s="401" t="str">
        <f>MEMÓRIA!A446</f>
        <v>Nova Cruz/RN, 03 de setembro de 2024.</v>
      </c>
      <c r="B44" s="401"/>
      <c r="C44" s="401"/>
      <c r="D44" s="401"/>
      <c r="E44" s="401"/>
      <c r="F44" s="401"/>
      <c r="G44" s="401"/>
      <c r="H44" s="401"/>
    </row>
    <row r="45" spans="1:8" x14ac:dyDescent="0.2">
      <c r="D45" s="43"/>
      <c r="E45" s="43"/>
    </row>
    <row r="46" spans="1:8" x14ac:dyDescent="0.2">
      <c r="D46" s="43"/>
      <c r="E46" s="43"/>
    </row>
    <row r="47" spans="1:8" ht="15" customHeight="1" x14ac:dyDescent="0.2">
      <c r="D47" s="43"/>
      <c r="E47" s="43"/>
    </row>
    <row r="48" spans="1:8" ht="12" customHeight="1" x14ac:dyDescent="0.2">
      <c r="D48" s="43"/>
      <c r="E48" s="43"/>
    </row>
    <row r="49" s="43" customFormat="1" ht="12" customHeight="1" x14ac:dyDescent="0.2"/>
    <row r="50" s="43" customFormat="1" ht="12" customHeight="1" x14ac:dyDescent="0.2"/>
    <row r="51" s="43" customFormat="1" ht="12" customHeight="1" x14ac:dyDescent="0.2"/>
    <row r="52" s="43" customFormat="1" ht="12" customHeight="1" x14ac:dyDescent="0.2"/>
    <row r="53" s="43" customFormat="1" x14ac:dyDescent="0.2"/>
    <row r="54" s="43" customFormat="1" x14ac:dyDescent="0.2"/>
  </sheetData>
  <mergeCells count="34">
    <mergeCell ref="A1:B2"/>
    <mergeCell ref="C1:H1"/>
    <mergeCell ref="C2:H2"/>
    <mergeCell ref="B3:G3"/>
    <mergeCell ref="A4:B4"/>
    <mergeCell ref="C4:H4"/>
    <mergeCell ref="B5:G5"/>
    <mergeCell ref="A6:B6"/>
    <mergeCell ref="C6:H6"/>
    <mergeCell ref="A8:B8"/>
    <mergeCell ref="C8:H8"/>
    <mergeCell ref="C7:H7"/>
    <mergeCell ref="B20:C20"/>
    <mergeCell ref="A10:H10"/>
    <mergeCell ref="A12:A13"/>
    <mergeCell ref="B12:D13"/>
    <mergeCell ref="E12:F12"/>
    <mergeCell ref="G12:H12"/>
    <mergeCell ref="B14:C14"/>
    <mergeCell ref="B15:C15"/>
    <mergeCell ref="B16:C16"/>
    <mergeCell ref="B17:C17"/>
    <mergeCell ref="B18:C18"/>
    <mergeCell ref="B19:C19"/>
    <mergeCell ref="C30:F30"/>
    <mergeCell ref="A40:H40"/>
    <mergeCell ref="A42:H42"/>
    <mergeCell ref="A44:H44"/>
    <mergeCell ref="B21:C21"/>
    <mergeCell ref="B22:C22"/>
    <mergeCell ref="B23:C23"/>
    <mergeCell ref="B24:C24"/>
    <mergeCell ref="A26:H26"/>
    <mergeCell ref="A28:H28"/>
  </mergeCells>
  <printOptions horizontalCentered="1"/>
  <pageMargins left="0.19685039370078741" right="0.19685039370078741" top="0.78740157480314965" bottom="0.78740157480314965" header="0" footer="0"/>
  <pageSetup paperSize="9" scale="83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5"/>
  <sheetViews>
    <sheetView tabSelected="1" topLeftCell="A73" zoomScaleNormal="100" zoomScaleSheetLayoutView="100" workbookViewId="0">
      <selection activeCell="F81" sqref="F81"/>
    </sheetView>
  </sheetViews>
  <sheetFormatPr defaultRowHeight="12" x14ac:dyDescent="0.2"/>
  <cols>
    <col min="1" max="1" width="6" style="17" customWidth="1"/>
    <col min="2" max="2" width="16.7109375" style="17" bestFit="1" customWidth="1"/>
    <col min="3" max="3" width="39.7109375" style="17" customWidth="1"/>
    <col min="4" max="4" width="9.42578125" style="17" customWidth="1"/>
    <col min="5" max="5" width="8.28515625" style="17" bestFit="1" customWidth="1"/>
    <col min="6" max="8" width="12" style="17" bestFit="1" customWidth="1"/>
    <col min="9" max="9" width="13.140625" style="17" bestFit="1" customWidth="1"/>
    <col min="10" max="11" width="9.140625" style="17"/>
    <col min="12" max="12" width="9.42578125" style="17" bestFit="1" customWidth="1"/>
    <col min="13" max="16384" width="9.140625" style="17"/>
  </cols>
  <sheetData>
    <row r="1" spans="1:9" s="10" customFormat="1" ht="15.75" customHeight="1" x14ac:dyDescent="0.2">
      <c r="A1" s="422"/>
      <c r="B1" s="423" t="s">
        <v>19</v>
      </c>
      <c r="C1" s="423"/>
      <c r="D1" s="423"/>
      <c r="E1" s="423"/>
      <c r="F1" s="423"/>
      <c r="G1" s="423"/>
      <c r="H1" s="423"/>
      <c r="I1" s="423"/>
    </row>
    <row r="2" spans="1:9" s="10" customFormat="1" ht="15.75" customHeight="1" x14ac:dyDescent="0.2">
      <c r="A2" s="422"/>
      <c r="B2" s="423" t="s">
        <v>24</v>
      </c>
      <c r="C2" s="423"/>
      <c r="D2" s="11"/>
      <c r="E2" s="11"/>
      <c r="F2" s="11"/>
      <c r="G2" s="11"/>
      <c r="H2" s="11"/>
      <c r="I2" s="11"/>
    </row>
    <row r="3" spans="1:9" s="10" customFormat="1" ht="12" customHeight="1" x14ac:dyDescent="0.2">
      <c r="A3" s="424"/>
      <c r="B3" s="424"/>
      <c r="C3" s="424"/>
      <c r="D3" s="424"/>
      <c r="E3" s="424"/>
      <c r="F3" s="424"/>
      <c r="G3" s="424"/>
      <c r="H3" s="424"/>
      <c r="I3" s="424"/>
    </row>
    <row r="4" spans="1:9" s="10" customFormat="1" ht="15" customHeight="1" x14ac:dyDescent="0.2">
      <c r="A4" s="427" t="str">
        <f>MEMÓRIA!A4</f>
        <v>OBRA/SERVIÇOS:</v>
      </c>
      <c r="B4" s="425"/>
      <c r="C4" s="426" t="str">
        <f>MEMÓRIA!C4</f>
        <v>CONSTRUÇÃO DE UMA ARENA DE BEACH SOCCER.</v>
      </c>
      <c r="D4" s="425"/>
      <c r="E4" s="425"/>
      <c r="F4" s="425"/>
      <c r="G4" s="425"/>
      <c r="H4" s="425"/>
      <c r="I4" s="425"/>
    </row>
    <row r="5" spans="1:9" s="10" customFormat="1" ht="5.0999999999999996" customHeight="1" x14ac:dyDescent="0.2">
      <c r="A5" s="425"/>
      <c r="B5" s="425"/>
      <c r="C5" s="425"/>
      <c r="D5" s="425"/>
      <c r="E5" s="425"/>
      <c r="F5" s="425"/>
      <c r="G5" s="425"/>
      <c r="H5" s="425"/>
      <c r="I5" s="425"/>
    </row>
    <row r="6" spans="1:9" s="10" customFormat="1" ht="15" customHeight="1" x14ac:dyDescent="0.2">
      <c r="A6" s="427" t="str">
        <f>MEMÓRIA!A6</f>
        <v>LOCAL DA OBRA:</v>
      </c>
      <c r="B6" s="425"/>
      <c r="C6" s="426" t="str">
        <f>MEMÓRIA!C6</f>
        <v>IFRN - CAMPUS NOVA CRUZ/RN.</v>
      </c>
      <c r="D6" s="425"/>
      <c r="E6" s="425"/>
      <c r="F6" s="425"/>
      <c r="G6" s="425"/>
      <c r="H6" s="425"/>
      <c r="I6" s="425"/>
    </row>
    <row r="7" spans="1:9" s="10" customFormat="1" ht="5.0999999999999996" customHeight="1" x14ac:dyDescent="0.2">
      <c r="A7" s="425"/>
      <c r="B7" s="425"/>
      <c r="C7" s="425"/>
      <c r="D7" s="425"/>
      <c r="E7" s="425"/>
      <c r="F7" s="425"/>
      <c r="G7" s="425"/>
      <c r="H7" s="425"/>
      <c r="I7" s="425"/>
    </row>
    <row r="8" spans="1:9" s="10" customFormat="1" ht="15" customHeight="1" x14ac:dyDescent="0.2">
      <c r="A8" s="423" t="s">
        <v>38</v>
      </c>
      <c r="B8" s="425"/>
      <c r="C8" s="426" t="str">
        <f>MEMÓRIA!C8</f>
        <v>1.770,48 m²</v>
      </c>
      <c r="D8" s="425"/>
      <c r="E8" s="425"/>
      <c r="F8" s="425"/>
      <c r="G8" s="425"/>
      <c r="H8" s="425"/>
      <c r="I8" s="425"/>
    </row>
    <row r="9" spans="1:9" s="10" customFormat="1" ht="22.5" customHeight="1" x14ac:dyDescent="0.2">
      <c r="A9" s="430"/>
      <c r="B9" s="430"/>
      <c r="C9" s="430"/>
      <c r="D9" s="430"/>
      <c r="E9" s="430"/>
      <c r="F9" s="430"/>
      <c r="G9" s="430"/>
      <c r="H9" s="430"/>
      <c r="I9" s="430"/>
    </row>
    <row r="10" spans="1:9" s="10" customFormat="1" x14ac:dyDescent="0.2">
      <c r="A10" s="431" t="s">
        <v>31</v>
      </c>
      <c r="B10" s="431"/>
      <c r="C10" s="431"/>
      <c r="D10" s="431"/>
      <c r="E10" s="431"/>
      <c r="F10" s="431"/>
      <c r="G10" s="431"/>
      <c r="H10" s="431"/>
      <c r="I10" s="431"/>
    </row>
    <row r="11" spans="1:9" s="10" customFormat="1" ht="15.75" customHeight="1" x14ac:dyDescent="0.2">
      <c r="A11" s="12"/>
      <c r="B11" s="12"/>
      <c r="C11" s="12"/>
      <c r="D11" s="12"/>
      <c r="E11" s="12"/>
      <c r="F11" s="12"/>
      <c r="G11" s="12"/>
      <c r="H11" s="13" t="s">
        <v>26</v>
      </c>
      <c r="I11" s="14">
        <v>0.22470000000000001</v>
      </c>
    </row>
    <row r="12" spans="1:9" s="10" customFormat="1" ht="5.0999999999999996" customHeight="1" x14ac:dyDescent="0.2">
      <c r="A12" s="422"/>
      <c r="B12" s="422"/>
      <c r="C12" s="422"/>
      <c r="D12" s="422"/>
      <c r="E12" s="422"/>
      <c r="F12" s="422"/>
      <c r="G12" s="422"/>
      <c r="H12" s="422"/>
      <c r="I12" s="422"/>
    </row>
    <row r="13" spans="1:9" s="6" customFormat="1" ht="24" customHeight="1" x14ac:dyDescent="0.2">
      <c r="A13" s="15" t="s">
        <v>0</v>
      </c>
      <c r="B13" s="15" t="s">
        <v>25</v>
      </c>
      <c r="C13" s="15" t="s">
        <v>1</v>
      </c>
      <c r="D13" s="15" t="s">
        <v>2</v>
      </c>
      <c r="E13" s="15" t="s">
        <v>3</v>
      </c>
      <c r="F13" s="18" t="s">
        <v>100</v>
      </c>
      <c r="G13" s="18" t="s">
        <v>101</v>
      </c>
      <c r="H13" s="18" t="s">
        <v>120</v>
      </c>
      <c r="I13" s="18" t="s">
        <v>121</v>
      </c>
    </row>
    <row r="14" spans="1:9" s="6" customFormat="1" ht="7.5" customHeight="1" x14ac:dyDescent="0.2">
      <c r="A14" s="432"/>
      <c r="B14" s="432"/>
      <c r="C14" s="432"/>
      <c r="D14" s="432"/>
      <c r="E14" s="432"/>
      <c r="F14" s="432"/>
      <c r="G14" s="432"/>
      <c r="H14" s="432"/>
      <c r="I14" s="432"/>
    </row>
    <row r="15" spans="1:9" s="1" customFormat="1" ht="12.75" x14ac:dyDescent="0.2">
      <c r="A15" s="3" t="str">
        <f>MEMÓRIA!A12</f>
        <v>1.0</v>
      </c>
      <c r="B15" s="24"/>
      <c r="C15" s="48" t="str">
        <f>MEMÓRIA!B12</f>
        <v>SERVIÇOS PRELIMINARES/TÉCNICOS</v>
      </c>
      <c r="D15" s="25"/>
      <c r="E15" s="26"/>
      <c r="F15" s="26"/>
      <c r="G15" s="26"/>
      <c r="H15" s="27"/>
      <c r="I15" s="28">
        <f>SUM(I16:I24)</f>
        <v>31819.279999999999</v>
      </c>
    </row>
    <row r="16" spans="1:9" s="1" customFormat="1" ht="76.5" x14ac:dyDescent="0.2">
      <c r="A16" s="71" t="str">
        <f>MEMÓRIA!A13</f>
        <v>1.1</v>
      </c>
      <c r="B16" s="167" t="s">
        <v>457</v>
      </c>
      <c r="C16" s="78" t="str">
        <f>MEMÓRIA!B13</f>
        <v>ADMINISTRAÇÃO LOCAL DA OBRA, PARA CRONOGRAMA DE 7 MESES, EM CONFORMIDADE COM O ACÓRDÃO N°2.622/2013, ONDE A TAXA DE ADMINISTRAÇÃO LOCAL DA OBRA DEVE VARIAR ENTRE 3,49% E 8,87%.</v>
      </c>
      <c r="D16" s="71" t="str">
        <f>MEMÓRIA!L13</f>
        <v>%</v>
      </c>
      <c r="E16" s="170">
        <f>MEMÓRIA!H17/100</f>
        <v>1</v>
      </c>
      <c r="F16" s="29">
        <f>ADM!G26</f>
        <v>14291.33</v>
      </c>
      <c r="G16" s="30">
        <f>TRUNC((F16*(1+$I$11)),2)</f>
        <v>17502.59</v>
      </c>
      <c r="H16" s="31">
        <f>TRUNC((E16*F16),2)</f>
        <v>14291.33</v>
      </c>
      <c r="I16" s="31">
        <f>TRUNC((E16*G16),2)</f>
        <v>17502.59</v>
      </c>
    </row>
    <row r="17" spans="1:10" s="1" customFormat="1" ht="25.5" x14ac:dyDescent="0.2">
      <c r="A17" s="4" t="str">
        <f>MEMÓRIA!A19</f>
        <v>1.2</v>
      </c>
      <c r="B17" s="168" t="s">
        <v>459</v>
      </c>
      <c r="C17" s="174" t="str">
        <f>MEMÓRIA!B19</f>
        <v>REGULARIZAÇÃO DE OBRA.</v>
      </c>
      <c r="D17" s="4" t="str">
        <f>MEMÓRIA!L19</f>
        <v>UND</v>
      </c>
      <c r="E17" s="33">
        <f>TRUNC(MEMÓRIA!H23,2)</f>
        <v>1</v>
      </c>
      <c r="F17" s="34">
        <v>218.54</v>
      </c>
      <c r="G17" s="35">
        <f t="shared" ref="G17:G23" si="0">TRUNC((F17*(1+$I$11)),2)</f>
        <v>267.64</v>
      </c>
      <c r="H17" s="36">
        <f t="shared" ref="H17:H19" si="1">TRUNC((E17*F17),2)</f>
        <v>218.54</v>
      </c>
      <c r="I17" s="36">
        <f t="shared" ref="I17:I19" si="2">TRUNC((E17*G17),2)</f>
        <v>267.64</v>
      </c>
    </row>
    <row r="18" spans="1:10" s="1" customFormat="1" ht="25.5" x14ac:dyDescent="0.2">
      <c r="A18" s="5" t="str">
        <f>MEMÓRIA!A25</f>
        <v>1.3</v>
      </c>
      <c r="B18" s="167" t="s">
        <v>458</v>
      </c>
      <c r="C18" s="78" t="str">
        <f>MEMÓRIA!B25</f>
        <v>PLACA DE OBRA EM CHAPA AÇO GALVANIZADO, INSTALADA.</v>
      </c>
      <c r="D18" s="5" t="str">
        <f>MEMÓRIA!L25</f>
        <v>M²</v>
      </c>
      <c r="E18" s="37">
        <f>TRUNC(MEMÓRIA!H31,2)</f>
        <v>2.88</v>
      </c>
      <c r="F18" s="29">
        <v>191.29</v>
      </c>
      <c r="G18" s="30">
        <f t="shared" si="0"/>
        <v>234.27</v>
      </c>
      <c r="H18" s="31">
        <f t="shared" si="1"/>
        <v>550.91</v>
      </c>
      <c r="I18" s="31">
        <f t="shared" si="2"/>
        <v>674.69</v>
      </c>
    </row>
    <row r="19" spans="1:10" s="1" customFormat="1" ht="51" x14ac:dyDescent="0.2">
      <c r="A19" s="4" t="str">
        <f>MEMÓRIA!A33</f>
        <v>1.4</v>
      </c>
      <c r="B19" s="32" t="s">
        <v>319</v>
      </c>
      <c r="C19" s="79" t="str">
        <f>MEMÓRIA!B33</f>
        <v>LOCAÇÃO CONVENCIONAL DE OBRA, UTILIZANDO GABARITO DE TÁBUAS CORRIDAS PONTALETADAS A CADA 2,00M - 2 UTILIZAÇÕES. AF_03/2024.</v>
      </c>
      <c r="D19" s="4" t="str">
        <f>MEMÓRIA!L33</f>
        <v>M</v>
      </c>
      <c r="E19" s="38">
        <f>TRUNC(MEMÓRIA!H46,2)</f>
        <v>75.8</v>
      </c>
      <c r="F19" s="39">
        <v>68.489999999999995</v>
      </c>
      <c r="G19" s="35">
        <f t="shared" si="0"/>
        <v>83.87</v>
      </c>
      <c r="H19" s="36">
        <f t="shared" si="1"/>
        <v>5191.54</v>
      </c>
      <c r="I19" s="36">
        <f t="shared" si="2"/>
        <v>6357.34</v>
      </c>
    </row>
    <row r="20" spans="1:10" s="1" customFormat="1" ht="51" x14ac:dyDescent="0.2">
      <c r="A20" s="5" t="str">
        <f>MEMÓRIA!A48</f>
        <v>1.5</v>
      </c>
      <c r="B20" s="169" t="s">
        <v>460</v>
      </c>
      <c r="C20" s="78" t="str">
        <f>MEMÓRIA!B48</f>
        <v>EXECUÇÃO DE DEPÓSITO EM CANTEIRO DE OBRA EM CHAPA DE MADEIRA COMPENSADA, NÃO INCLUSO MOBILIÁRIO. AF_04/2016.</v>
      </c>
      <c r="D20" s="5" t="str">
        <f>MEMÓRIA!L48</f>
        <v>M²</v>
      </c>
      <c r="E20" s="37">
        <f>TRUNC(MEMÓRIA!H53,2)</f>
        <v>3.5</v>
      </c>
      <c r="F20" s="29">
        <v>826.48</v>
      </c>
      <c r="G20" s="30">
        <f t="shared" si="0"/>
        <v>1012.19</v>
      </c>
      <c r="H20" s="31">
        <f t="shared" ref="H20:H23" si="3">TRUNC((E20*F20),2)</f>
        <v>2892.68</v>
      </c>
      <c r="I20" s="31">
        <f t="shared" ref="I20:I23" si="4">TRUNC((E20*G20),2)</f>
        <v>3542.66</v>
      </c>
      <c r="J20" s="241"/>
    </row>
    <row r="21" spans="1:10" s="1" customFormat="1" ht="38.25" x14ac:dyDescent="0.2">
      <c r="A21" s="4" t="str">
        <f>MEMÓRIA!A55</f>
        <v>1.6</v>
      </c>
      <c r="B21" s="168" t="s">
        <v>465</v>
      </c>
      <c r="C21" s="79" t="str">
        <f>MEMÓRIA!B55</f>
        <v>EXECUÇÃO DE SANITÁRIO E VESTIÁRIO EM CANTEIRO DE OBRA EM ALVENARIA, NÃO INCLUSO MOBILIÁRIO.</v>
      </c>
      <c r="D21" s="4" t="str">
        <f>MEMÓRIA!L55</f>
        <v>M²</v>
      </c>
      <c r="E21" s="38">
        <f>MEMÓRIA!H60</f>
        <v>1.5</v>
      </c>
      <c r="F21" s="39">
        <v>1059.5</v>
      </c>
      <c r="G21" s="35">
        <f t="shared" ref="G21" si="5">TRUNC((F21*(1+$I$11)),2)</f>
        <v>1297.56</v>
      </c>
      <c r="H21" s="36">
        <f t="shared" ref="H21" si="6">TRUNC((E21*F21),2)</f>
        <v>1589.25</v>
      </c>
      <c r="I21" s="36">
        <f t="shared" ref="I21" si="7">TRUNC((E21*G21),2)</f>
        <v>1946.34</v>
      </c>
    </row>
    <row r="22" spans="1:10" s="1" customFormat="1" ht="25.5" x14ac:dyDescent="0.2">
      <c r="A22" s="258" t="str">
        <f>MEMÓRIA!A62</f>
        <v>1.7</v>
      </c>
      <c r="B22" s="169" t="s">
        <v>467</v>
      </c>
      <c r="C22" s="260" t="str">
        <f>MEMÓRIA!B62</f>
        <v>INSTALAÇÃO PROVISORIA DE FORÇA.</v>
      </c>
      <c r="D22" s="258" t="str">
        <f>MEMÓRIA!L62</f>
        <v>PT</v>
      </c>
      <c r="E22" s="177">
        <f>TRUNC(MEMÓRIA!H66,2)</f>
        <v>1</v>
      </c>
      <c r="F22" s="178">
        <v>175.61</v>
      </c>
      <c r="G22" s="30">
        <f t="shared" si="0"/>
        <v>215.06</v>
      </c>
      <c r="H22" s="179">
        <f t="shared" si="3"/>
        <v>175.61</v>
      </c>
      <c r="I22" s="179">
        <f t="shared" si="4"/>
        <v>215.06</v>
      </c>
    </row>
    <row r="23" spans="1:10" s="1" customFormat="1" ht="25.5" x14ac:dyDescent="0.2">
      <c r="A23" s="4" t="str">
        <f>MEMÓRIA!A68</f>
        <v>1.8</v>
      </c>
      <c r="B23" s="168" t="s">
        <v>461</v>
      </c>
      <c r="C23" s="174" t="str">
        <f>MEMÓRIA!B68</f>
        <v>INSTALAÇÃO PROVISORIA DE AGUA.</v>
      </c>
      <c r="D23" s="4" t="str">
        <f>MEMÓRIA!L68</f>
        <v>PT</v>
      </c>
      <c r="E23" s="38">
        <f>TRUNC(MEMÓRIA!H72,2)</f>
        <v>1</v>
      </c>
      <c r="F23" s="39">
        <v>727.82</v>
      </c>
      <c r="G23" s="35">
        <f t="shared" si="0"/>
        <v>891.36</v>
      </c>
      <c r="H23" s="36">
        <f t="shared" si="3"/>
        <v>727.82</v>
      </c>
      <c r="I23" s="36">
        <f t="shared" si="4"/>
        <v>891.36</v>
      </c>
    </row>
    <row r="24" spans="1:10" s="1" customFormat="1" ht="25.5" x14ac:dyDescent="0.2">
      <c r="A24" s="231" t="str">
        <f>MEMÓRIA!A74</f>
        <v>1.9</v>
      </c>
      <c r="B24" s="328" t="s">
        <v>468</v>
      </c>
      <c r="C24" s="329" t="str">
        <f>MEMÓRIA!B74</f>
        <v>MOBILIZAÇÃO DE EQUIPAMENTOS EM CAMINHÃO EQUIPADO COM GUINDASTE.</v>
      </c>
      <c r="D24" s="231" t="str">
        <f>MEMÓRIA!L74</f>
        <v>KM</v>
      </c>
      <c r="E24" s="330">
        <f>TRUNC(MEMÓRIA!H78,2)</f>
        <v>80</v>
      </c>
      <c r="F24" s="331">
        <v>4.3099999999999996</v>
      </c>
      <c r="G24" s="47">
        <f t="shared" ref="G24" si="8">TRUNC((F24*(1+$I$11)),2)</f>
        <v>5.27</v>
      </c>
      <c r="H24" s="179">
        <f t="shared" ref="H24" si="9">TRUNC((E24*F24),2)</f>
        <v>344.8</v>
      </c>
      <c r="I24" s="179">
        <f t="shared" ref="I24" si="10">TRUNC((E24*G24),2)</f>
        <v>421.6</v>
      </c>
    </row>
    <row r="25" spans="1:10" s="6" customFormat="1" ht="7.5" customHeight="1" x14ac:dyDescent="0.2">
      <c r="A25" s="172"/>
      <c r="B25" s="172"/>
      <c r="C25" s="172"/>
      <c r="D25" s="172"/>
      <c r="E25" s="172"/>
      <c r="F25" s="172"/>
      <c r="G25" s="172"/>
      <c r="H25" s="172"/>
      <c r="I25" s="173"/>
    </row>
    <row r="26" spans="1:10" s="1" customFormat="1" ht="12.75" x14ac:dyDescent="0.2">
      <c r="A26" s="3" t="str">
        <f>MEMÓRIA!A80</f>
        <v>2.0</v>
      </c>
      <c r="B26" s="24"/>
      <c r="C26" s="48" t="str">
        <f>MEMÓRIA!B80</f>
        <v>INFRAESTRUTURA/FUNDAÇÕES SIMPLES</v>
      </c>
      <c r="D26" s="25"/>
      <c r="E26" s="26"/>
      <c r="F26" s="26"/>
      <c r="G26" s="26"/>
      <c r="H26" s="27"/>
      <c r="I26" s="28">
        <f>SUM(I27:I36)</f>
        <v>74205.36</v>
      </c>
    </row>
    <row r="27" spans="1:10" s="1" customFormat="1" ht="63.75" x14ac:dyDescent="0.2">
      <c r="A27" s="71" t="str">
        <f>MEMÓRIA!A81</f>
        <v>2.1</v>
      </c>
      <c r="B27" s="167" t="s">
        <v>159</v>
      </c>
      <c r="C27" s="78" t="str">
        <f>MEMÓRIA!B81</f>
        <v>LIMPEZA MECANIZADA DE CAMADA VEGETAL, VEGETAÇÃO E PEQUENAS ÁRVORES (DIÂMETRO DE TRONCO MENOR QUE 0,20 M), COM TRATOR DE ESTEIRAS. AF_03/2024.</v>
      </c>
      <c r="D27" s="71" t="str">
        <f>MEMÓRIA!L81</f>
        <v>M²</v>
      </c>
      <c r="E27" s="45">
        <f>MEMÓRIA!H86</f>
        <v>1770.48</v>
      </c>
      <c r="F27" s="29">
        <v>0.61</v>
      </c>
      <c r="G27" s="30">
        <f>TRUNC((F27*(1+$I$11)),2)</f>
        <v>0.74</v>
      </c>
      <c r="H27" s="31">
        <f>TRUNC((E27*F27),2)</f>
        <v>1079.99</v>
      </c>
      <c r="I27" s="31">
        <f>TRUNC((E27*G27),2)</f>
        <v>1310.1500000000001</v>
      </c>
      <c r="J27" s="241"/>
    </row>
    <row r="28" spans="1:10" s="1" customFormat="1" ht="51" x14ac:dyDescent="0.2">
      <c r="A28" s="4" t="str">
        <f>MEMÓRIA!A88</f>
        <v>2.2</v>
      </c>
      <c r="B28" s="168" t="s">
        <v>327</v>
      </c>
      <c r="C28" s="174" t="str">
        <f>MEMÓRIA!B88</f>
        <v>ESCAVAÇÃO MANUAL PARA BLOCO DE COROAMENTO OU SAPATA (INCLUINDO ESCAVAÇÃO PARA COLOCAÇÃO DE FÔRMAS). AF_06/2017</v>
      </c>
      <c r="D28" s="4" t="str">
        <f>MEMÓRIA!L88</f>
        <v>M³</v>
      </c>
      <c r="E28" s="33">
        <f>TRUNC(MEMÓRIA!H95,2)</f>
        <v>17.149999999999999</v>
      </c>
      <c r="F28" s="34">
        <v>89.24</v>
      </c>
      <c r="G28" s="35">
        <f t="shared" ref="G28:G30" si="11">TRUNC((F28*(1+$I$11)),2)</f>
        <v>109.29</v>
      </c>
      <c r="H28" s="36">
        <f t="shared" ref="H28:H30" si="12">TRUNC((E28*F28),2)</f>
        <v>1530.46</v>
      </c>
      <c r="I28" s="36">
        <f>TRUNC((E28*G28),2)</f>
        <v>1874.32</v>
      </c>
      <c r="J28" s="241"/>
    </row>
    <row r="29" spans="1:10" s="1" customFormat="1" ht="38.25" x14ac:dyDescent="0.2">
      <c r="A29" s="5" t="str">
        <f>MEMÓRIA!A97</f>
        <v>2.3</v>
      </c>
      <c r="B29" s="169" t="s">
        <v>328</v>
      </c>
      <c r="C29" s="78" t="str">
        <f>MEMÓRIA!B97</f>
        <v>ESCAVAÇÃO MANUAL DE VALA COM PROFUNDIDADE MENOR OU IGUAL A 1,30 M. AF_02/2021</v>
      </c>
      <c r="D29" s="5" t="str">
        <f>MEMÓRIA!L97</f>
        <v>M³</v>
      </c>
      <c r="E29" s="37">
        <f>TRUNC(MEMÓRIA!H113,2)</f>
        <v>22.8</v>
      </c>
      <c r="F29" s="29">
        <v>98.23</v>
      </c>
      <c r="G29" s="30">
        <f t="shared" si="11"/>
        <v>120.3</v>
      </c>
      <c r="H29" s="31">
        <f t="shared" si="12"/>
        <v>2239.64</v>
      </c>
      <c r="I29" s="31">
        <f t="shared" ref="I29:I30" si="13">TRUNC((E29*G29),2)</f>
        <v>2742.84</v>
      </c>
      <c r="J29" s="241"/>
    </row>
    <row r="30" spans="1:10" s="1" customFormat="1" ht="51" x14ac:dyDescent="0.2">
      <c r="A30" s="4" t="str">
        <f>MEMÓRIA!A115</f>
        <v>2.4</v>
      </c>
      <c r="B30" s="32" t="s">
        <v>148</v>
      </c>
      <c r="C30" s="79" t="str">
        <f>MEMÓRIA!B115</f>
        <v>LASTRO DE CONCRETO MAGRO, APLICADO EM BLOCOS DE COROAMENTO OU SAPATAS, ESPESSURA DE 5 CM. AF_08/2017</v>
      </c>
      <c r="D30" s="4" t="str">
        <f>MEMÓRIA!L115</f>
        <v>M²</v>
      </c>
      <c r="E30" s="38">
        <f>TRUNC(MEMÓRIA!H135,2)</f>
        <v>75.17</v>
      </c>
      <c r="F30" s="39">
        <v>36.15</v>
      </c>
      <c r="G30" s="35">
        <f t="shared" si="11"/>
        <v>44.27</v>
      </c>
      <c r="H30" s="36">
        <f t="shared" si="12"/>
        <v>2717.39</v>
      </c>
      <c r="I30" s="36">
        <f t="shared" si="13"/>
        <v>3327.77</v>
      </c>
      <c r="J30" s="241"/>
    </row>
    <row r="31" spans="1:10" s="1" customFormat="1" ht="38.25" x14ac:dyDescent="0.2">
      <c r="A31" s="5" t="str">
        <f>MEMÓRIA!A137</f>
        <v>2.5</v>
      </c>
      <c r="B31" s="169" t="s">
        <v>149</v>
      </c>
      <c r="C31" s="78" t="str">
        <f>MEMÓRIA!B137</f>
        <v>CONCRETO CICLÓPICO FCK = 15MPA, 30% PEDRA DE MÃO EM VOLUME REAL, INCLUSIVE LANÇAMENTO. AF_05/2021</v>
      </c>
      <c r="D31" s="5" t="str">
        <f>MEMÓRIA!L137</f>
        <v>M³</v>
      </c>
      <c r="E31" s="37">
        <f>TRUNC(MEMÓRIA!H142,2)</f>
        <v>39.950000000000003</v>
      </c>
      <c r="F31" s="29">
        <v>609.04</v>
      </c>
      <c r="G31" s="30">
        <f t="shared" ref="G31:G36" si="14">TRUNC((F31*(1+$I$11)),2)</f>
        <v>745.89</v>
      </c>
      <c r="H31" s="31">
        <f t="shared" ref="H31:H36" si="15">TRUNC((E31*F31),2)</f>
        <v>24331.14</v>
      </c>
      <c r="I31" s="31">
        <f t="shared" ref="I31:I36" si="16">TRUNC((E31*G31),2)</f>
        <v>29798.3</v>
      </c>
      <c r="J31" s="241"/>
    </row>
    <row r="32" spans="1:10" s="1" customFormat="1" ht="25.5" x14ac:dyDescent="0.2">
      <c r="A32" s="4" t="str">
        <f>MEMÓRIA!A144</f>
        <v>2.6</v>
      </c>
      <c r="B32" s="32" t="s">
        <v>336</v>
      </c>
      <c r="C32" s="79" t="str">
        <f>MEMÓRIA!B144</f>
        <v>REATERRO MANUAL DE VALAS, COM PLACA VIBRATÓRIA. AF_08/2023</v>
      </c>
      <c r="D32" s="4" t="str">
        <f>MEMÓRIA!L144</f>
        <v>M³</v>
      </c>
      <c r="E32" s="38">
        <f>TRUNC(MEMÓRIA!H149,2)</f>
        <v>39.950000000000003</v>
      </c>
      <c r="F32" s="39">
        <v>20.96</v>
      </c>
      <c r="G32" s="35">
        <f t="shared" si="14"/>
        <v>25.66</v>
      </c>
      <c r="H32" s="36">
        <f t="shared" si="15"/>
        <v>837.35</v>
      </c>
      <c r="I32" s="36">
        <f t="shared" si="16"/>
        <v>1025.1099999999999</v>
      </c>
      <c r="J32" s="241"/>
    </row>
    <row r="33" spans="1:10" s="1" customFormat="1" ht="25.5" x14ac:dyDescent="0.2">
      <c r="A33" s="258" t="str">
        <f>MEMÓRIA!A151</f>
        <v>2.7</v>
      </c>
      <c r="B33" s="302" t="s">
        <v>337</v>
      </c>
      <c r="C33" s="303" t="str">
        <f>MEMÓRIA!B151</f>
        <v>ATERRO MANUAL DE VALAS COM SOLO ARGILO-ARENOSO. AF_08/2023</v>
      </c>
      <c r="D33" s="258" t="str">
        <f>MEMÓRIA!L151</f>
        <v>M³</v>
      </c>
      <c r="E33" s="177">
        <f>TRUNC(MEMÓRIA!H163,2)</f>
        <v>156.84</v>
      </c>
      <c r="F33" s="178">
        <v>76.95</v>
      </c>
      <c r="G33" s="30">
        <f t="shared" si="14"/>
        <v>94.24</v>
      </c>
      <c r="H33" s="179">
        <f t="shared" si="15"/>
        <v>12068.83</v>
      </c>
      <c r="I33" s="179">
        <f>TRUNC((E33*G33),2)</f>
        <v>14780.6</v>
      </c>
      <c r="J33" s="241"/>
    </row>
    <row r="34" spans="1:10" s="1" customFormat="1" ht="38.25" x14ac:dyDescent="0.2">
      <c r="A34" s="44" t="str">
        <f>MEMÓRIA!A165</f>
        <v>2.9</v>
      </c>
      <c r="B34" s="168" t="s">
        <v>339</v>
      </c>
      <c r="C34" s="174" t="str">
        <f>MEMÓRIA!B165</f>
        <v>APLICAÇÃO DE LONA PLÁSTICA PARA EXECUÇÃO DE PAVIMENTOS DE CONCRETO. AF_04/2022</v>
      </c>
      <c r="D34" s="44" t="str">
        <f>MEMÓRIA!L165</f>
        <v>M²</v>
      </c>
      <c r="E34" s="40">
        <f>TRUNC(MEMÓRIA!H170,2)</f>
        <v>1312</v>
      </c>
      <c r="F34" s="41">
        <v>3.68</v>
      </c>
      <c r="G34" s="42">
        <f t="shared" si="14"/>
        <v>4.5</v>
      </c>
      <c r="H34" s="36">
        <f t="shared" si="15"/>
        <v>4828.16</v>
      </c>
      <c r="I34" s="36">
        <f t="shared" si="16"/>
        <v>5904</v>
      </c>
    </row>
    <row r="35" spans="1:10" s="6" customFormat="1" ht="76.5" x14ac:dyDescent="0.2">
      <c r="A35" s="231" t="str">
        <f>MEMÓRIA!A172</f>
        <v>2.10</v>
      </c>
      <c r="B35" s="305" t="s">
        <v>338</v>
      </c>
      <c r="C35" s="306" t="str">
        <f>MEMÓRIA!B172</f>
        <v>CARGA, MANOBRA E DESCARGA DE ENTULHO EM CAMINHÃO BASCULANTE 10 M³ - CARGA COM ESCAVADEIRA HIDRÁULICA (CAÇAMBA DE 0,80 M³ / 111 HP) E DESCARGA LIVRE (UNIDADE: M3). AF_07/2020.</v>
      </c>
      <c r="D35" s="231" t="str">
        <f>MEMÓRIA!L172</f>
        <v>M³</v>
      </c>
      <c r="E35" s="45">
        <f>TRUNC(MEMÓRIA!H183,2)</f>
        <v>128.52000000000001</v>
      </c>
      <c r="F35" s="46">
        <v>9.2200000000000006</v>
      </c>
      <c r="G35" s="47">
        <f t="shared" si="14"/>
        <v>11.29</v>
      </c>
      <c r="H35" s="179">
        <f t="shared" si="15"/>
        <v>1184.95</v>
      </c>
      <c r="I35" s="179">
        <f t="shared" si="16"/>
        <v>1450.99</v>
      </c>
      <c r="J35" s="241"/>
    </row>
    <row r="36" spans="1:10" s="1" customFormat="1" ht="51" x14ac:dyDescent="0.2">
      <c r="A36" s="44" t="str">
        <f>MEMÓRIA!A185</f>
        <v>2.10</v>
      </c>
      <c r="B36" s="304" t="s">
        <v>168</v>
      </c>
      <c r="C36" s="261" t="str">
        <f>MEMÓRIA!B185</f>
        <v>TRANSPORTE COM CAMINHÃO BASCULANTE DE 10 M³, EM VIA URBANA PAVIMENTADA, DMT ATÉ 30 KM (UNIDADE: M3XKM). AF_07/2020</v>
      </c>
      <c r="D36" s="44" t="str">
        <f>MEMÓRIA!L185</f>
        <v>M³ x KM</v>
      </c>
      <c r="E36" s="85">
        <f>TRUNC(MEMÓRIA!H189,2)</f>
        <v>3855.72</v>
      </c>
      <c r="F36" s="86">
        <v>2.54</v>
      </c>
      <c r="G36" s="42">
        <f t="shared" si="14"/>
        <v>3.11</v>
      </c>
      <c r="H36" s="36">
        <f t="shared" si="15"/>
        <v>9793.52</v>
      </c>
      <c r="I36" s="36">
        <f t="shared" si="16"/>
        <v>11991.28</v>
      </c>
      <c r="J36" s="241"/>
    </row>
    <row r="37" spans="1:10" s="6" customFormat="1" ht="7.5" customHeight="1" x14ac:dyDescent="0.2">
      <c r="A37" s="159"/>
      <c r="B37" s="159"/>
      <c r="C37" s="159"/>
      <c r="D37" s="159"/>
      <c r="E37" s="159"/>
      <c r="F37" s="159"/>
      <c r="G37" s="159"/>
      <c r="H37" s="159"/>
      <c r="I37" s="160"/>
    </row>
    <row r="38" spans="1:10" s="1" customFormat="1" ht="12.75" x14ac:dyDescent="0.2">
      <c r="A38" s="3" t="str">
        <f>MEMÓRIA!A191</f>
        <v>3.0</v>
      </c>
      <c r="B38" s="24"/>
      <c r="C38" s="48" t="str">
        <f>MEMÓRIA!B191</f>
        <v>SUPERESTRUTURA</v>
      </c>
      <c r="D38" s="25"/>
      <c r="E38" s="26"/>
      <c r="F38" s="26"/>
      <c r="G38" s="26"/>
      <c r="H38" s="27"/>
      <c r="I38" s="28">
        <f>SUM(I39:I43)</f>
        <v>12412.852000000001</v>
      </c>
    </row>
    <row r="39" spans="1:10" s="1" customFormat="1" ht="63.75" x14ac:dyDescent="0.2">
      <c r="A39" s="5" t="str">
        <f>MEMÓRIA!A192</f>
        <v>3.1</v>
      </c>
      <c r="B39" s="167" t="s">
        <v>343</v>
      </c>
      <c r="C39" s="78" t="str">
        <f>MEMÓRIA!B192</f>
        <v>ARMAÇÃO DE PILAR OU VIGA DE ESTRUTURA DE CONCRETO ARMADO EMBUTIDA EM ALVENARIA DE VEDAÇÃO UTILIZANDO AÇO CA-60 DE 5,0 MM - MONTAGEM. AF_06/2022</v>
      </c>
      <c r="D39" s="5" t="str">
        <f>MEMÓRIA!L192</f>
        <v>KG</v>
      </c>
      <c r="E39" s="45">
        <f>TRUNC(MEMÓRIA!H214,2)</f>
        <v>83.16</v>
      </c>
      <c r="F39" s="29">
        <v>20.81</v>
      </c>
      <c r="G39" s="30">
        <f>TRUNC((F39*(1+$I$11)),2)</f>
        <v>25.48</v>
      </c>
      <c r="H39" s="31">
        <f>TRUNC((E39*F39),2)</f>
        <v>1730.55</v>
      </c>
      <c r="I39" s="31">
        <f>TRUNC((E39*G39),2)</f>
        <v>2118.91</v>
      </c>
    </row>
    <row r="40" spans="1:10" s="1" customFormat="1" ht="25.5" x14ac:dyDescent="0.2">
      <c r="A40" s="44" t="str">
        <f>MEMÓRIA!A216</f>
        <v>3.2</v>
      </c>
      <c r="B40" s="168" t="s">
        <v>170</v>
      </c>
      <c r="C40" s="174" t="str">
        <f>MEMÓRIA!B216</f>
        <v>ARMAÇÃO DE BLOCO UTILIZANDO AÇO CA-50 DE 8 MM - MONTAGEM. AF_01/2024</v>
      </c>
      <c r="D40" s="44" t="str">
        <f>MEMÓRIA!L216</f>
        <v>KG</v>
      </c>
      <c r="E40" s="40">
        <f>TRUNC(MEMÓRIA!H233,2)</f>
        <v>252.8</v>
      </c>
      <c r="F40" s="41">
        <v>16.57</v>
      </c>
      <c r="G40" s="42">
        <f t="shared" ref="G40" si="17">TRUNC((F40*(1+$I$11)),2)</f>
        <v>20.29</v>
      </c>
      <c r="H40" s="36">
        <f t="shared" ref="H40" si="18">TRUNC((E40*F40),2)</f>
        <v>4188.8900000000003</v>
      </c>
      <c r="I40" s="36">
        <f>E40*G40</f>
        <v>5129.3119999999999</v>
      </c>
    </row>
    <row r="41" spans="1:10" s="6" customFormat="1" ht="51" x14ac:dyDescent="0.2">
      <c r="A41" s="71" t="str">
        <f>MEMÓRIA!A235</f>
        <v>3.3</v>
      </c>
      <c r="B41" s="169" t="s">
        <v>182</v>
      </c>
      <c r="C41" s="78" t="str">
        <f>MEMÓRIA!B235</f>
        <v>ARMAÇÃO DE PILAR OU VIGA DE ESTRUTURA CONVENCIONAL DE CONCRETO ARMADO UTILIZANDO AÇO CA-50 DE 10,0 MM - MONTAGEM. AF_06/2022.</v>
      </c>
      <c r="D41" s="71" t="str">
        <f>MEMÓRIA!L235</f>
        <v>KG</v>
      </c>
      <c r="E41" s="45">
        <f>TRUNC(MEMÓRIA!H252,2)</f>
        <v>185.1</v>
      </c>
      <c r="F41" s="29">
        <v>11.61</v>
      </c>
      <c r="G41" s="30">
        <f>TRUNC((F41*(1+$I$11)),2)</f>
        <v>14.21</v>
      </c>
      <c r="H41" s="31">
        <f>TRUNC((E41*F41),2)</f>
        <v>2149.0100000000002</v>
      </c>
      <c r="I41" s="31">
        <f>TRUNC((E41*G41),2)</f>
        <v>2630.27</v>
      </c>
    </row>
    <row r="42" spans="1:10" s="1" customFormat="1" ht="25.5" x14ac:dyDescent="0.2">
      <c r="A42" s="44" t="str">
        <f>MEMÓRIA!A254</f>
        <v>3.4</v>
      </c>
      <c r="B42" s="168" t="s">
        <v>344</v>
      </c>
      <c r="C42" s="174" t="str">
        <f>MEMÓRIA!B254</f>
        <v>FORMA PARA PILARES EM TABUAS DE MADEIRA.</v>
      </c>
      <c r="D42" s="44" t="str">
        <f>MEMÓRIA!L254</f>
        <v>M²</v>
      </c>
      <c r="E42" s="40">
        <f>TRUNC(MEMÓRIA!H260,2)</f>
        <v>4.5</v>
      </c>
      <c r="F42" s="41">
        <v>125.71</v>
      </c>
      <c r="G42" s="42">
        <f t="shared" ref="G42:G43" si="19">TRUNC((F42*(1+$I$11)),2)</f>
        <v>153.94999999999999</v>
      </c>
      <c r="H42" s="36">
        <f t="shared" ref="H42" si="20">TRUNC((E42*F42),2)</f>
        <v>565.69000000000005</v>
      </c>
      <c r="I42" s="36">
        <f t="shared" ref="I42" si="21">TRUNC((E42*G42),2)</f>
        <v>692.77</v>
      </c>
    </row>
    <row r="43" spans="1:10" s="6" customFormat="1" ht="51" x14ac:dyDescent="0.2">
      <c r="A43" s="82" t="str">
        <f>MEMÓRIA!A262</f>
        <v>3.5</v>
      </c>
      <c r="B43" s="171" t="s">
        <v>195</v>
      </c>
      <c r="C43" s="80" t="str">
        <f>MEMÓRIA!B262</f>
        <v>CONCRETAGEM DE PILARES, FCK = 25 MPA, COM USO DE BALDES - LANÇAMENTO, ADENSAMENTO E ACABAMENTO. AF_02/2022.</v>
      </c>
      <c r="D43" s="82" t="str">
        <f>MEMÓRIA!L262</f>
        <v>M³</v>
      </c>
      <c r="E43" s="45">
        <f>TRUNC(MEMÓRIA!H269,2)</f>
        <v>1.56</v>
      </c>
      <c r="F43" s="46">
        <v>963.92</v>
      </c>
      <c r="G43" s="47">
        <f t="shared" si="19"/>
        <v>1180.51</v>
      </c>
      <c r="H43" s="31">
        <f t="shared" ref="H43" si="22">TRUNC((E43*F43),2)</f>
        <v>1503.71</v>
      </c>
      <c r="I43" s="31">
        <f t="shared" ref="I43" si="23">TRUNC((E43*G43),2)</f>
        <v>1841.59</v>
      </c>
    </row>
    <row r="44" spans="1:10" s="6" customFormat="1" ht="7.5" customHeight="1" x14ac:dyDescent="0.2">
      <c r="A44" s="159"/>
      <c r="B44" s="159"/>
      <c r="C44" s="159"/>
      <c r="D44" s="159"/>
      <c r="E44" s="159"/>
      <c r="F44" s="159"/>
      <c r="G44" s="159"/>
      <c r="H44" s="159"/>
      <c r="I44" s="160"/>
    </row>
    <row r="45" spans="1:10" s="1" customFormat="1" ht="12.75" x14ac:dyDescent="0.2">
      <c r="A45" s="3" t="str">
        <f>MEMÓRIA!A271</f>
        <v>4.0</v>
      </c>
      <c r="B45" s="24"/>
      <c r="C45" s="48" t="str">
        <f>MEMÓRIA!B271</f>
        <v>ALVENARIA DE VEDAÇÃO/DIVISÓRIA</v>
      </c>
      <c r="D45" s="25"/>
      <c r="E45" s="26"/>
      <c r="F45" s="26"/>
      <c r="G45" s="26"/>
      <c r="H45" s="27"/>
      <c r="I45" s="28">
        <f>SUM(I46:I46)</f>
        <v>7586.16</v>
      </c>
    </row>
    <row r="46" spans="1:10" s="1" customFormat="1" ht="63.75" x14ac:dyDescent="0.2">
      <c r="A46" s="82" t="str">
        <f>MEMÓRIA!A272</f>
        <v>4.1</v>
      </c>
      <c r="B46" s="49" t="s">
        <v>147</v>
      </c>
      <c r="C46" s="80" t="str">
        <f>MEMÓRIA!B272</f>
        <v>ALVENARIA DE VEDAÇÃO DE BLOCOS CERÂMICOS FURADOS NA VERTICAL DE 19X19X39 CM (ESPESSURA 19 CM) E ARGAMASSA DE ASSENTAMENTO COM PREPARO EM BETONEIRA. AF_12/2021</v>
      </c>
      <c r="D46" s="50" t="str">
        <f>MEMÓRIA!L272</f>
        <v>M²</v>
      </c>
      <c r="E46" s="45">
        <f>TRUNC(MEMÓRIA!H281,2)</f>
        <v>73</v>
      </c>
      <c r="F46" s="46">
        <v>84.86</v>
      </c>
      <c r="G46" s="47">
        <f>TRUNC((F46*(1+$I$11)),2)</f>
        <v>103.92</v>
      </c>
      <c r="H46" s="31">
        <f>TRUNC((E46*F46),2)</f>
        <v>6194.78</v>
      </c>
      <c r="I46" s="31">
        <f>TRUNC((E46*G46),2)</f>
        <v>7586.16</v>
      </c>
    </row>
    <row r="47" spans="1:10" s="6" customFormat="1" ht="7.5" customHeight="1" x14ac:dyDescent="0.2">
      <c r="I47" s="23"/>
    </row>
    <row r="48" spans="1:10" s="1" customFormat="1" ht="12.75" x14ac:dyDescent="0.2">
      <c r="A48" s="3" t="str">
        <f>MEMÓRIA!A283</f>
        <v>5.0</v>
      </c>
      <c r="B48" s="24"/>
      <c r="C48" s="48" t="str">
        <f>MEMÓRIA!B283</f>
        <v>IMPERMEABILIZAÇÃO DE SUPERFÍCIES</v>
      </c>
      <c r="D48" s="25"/>
      <c r="E48" s="26"/>
      <c r="F48" s="26"/>
      <c r="G48" s="26"/>
      <c r="H48" s="27"/>
      <c r="I48" s="28">
        <f>SUM(I49:I49)</f>
        <v>7428.48</v>
      </c>
    </row>
    <row r="49" spans="1:9" s="1" customFormat="1" ht="38.25" x14ac:dyDescent="0.2">
      <c r="A49" s="82" t="str">
        <f>MEMÓRIA!A284</f>
        <v>5.1</v>
      </c>
      <c r="B49" s="328" t="s">
        <v>470</v>
      </c>
      <c r="C49" s="80" t="str">
        <f>MEMÓRIA!B284</f>
        <v>IMPERMEABILIZAÇÃO DE SUPERFÍCIE COM EMULSÃO ASFÁLTICA, 2 DEMÃOS. AF_09/2023.</v>
      </c>
      <c r="D49" s="50" t="str">
        <f>MEMÓRIA!L284</f>
        <v>M²</v>
      </c>
      <c r="E49" s="45">
        <f>TRUNC(MEMÓRIA!H289,2)</f>
        <v>146</v>
      </c>
      <c r="F49" s="46">
        <v>41.55</v>
      </c>
      <c r="G49" s="47">
        <f>TRUNC((F49*(1+$I$11)),2)</f>
        <v>50.88</v>
      </c>
      <c r="H49" s="31">
        <f>TRUNC((E49*F49),2)</f>
        <v>6066.3</v>
      </c>
      <c r="I49" s="31">
        <f>TRUNC((E49*G49),2)</f>
        <v>7428.48</v>
      </c>
    </row>
    <row r="50" spans="1:9" s="6" customFormat="1" ht="7.5" customHeight="1" x14ac:dyDescent="0.2">
      <c r="I50" s="23"/>
    </row>
    <row r="51" spans="1:9" s="1" customFormat="1" ht="12.75" x14ac:dyDescent="0.2">
      <c r="A51" s="3" t="s">
        <v>144</v>
      </c>
      <c r="B51" s="24"/>
      <c r="C51" s="48" t="s">
        <v>371</v>
      </c>
      <c r="D51" s="25"/>
      <c r="E51" s="26"/>
      <c r="F51" s="26"/>
      <c r="G51" s="26"/>
      <c r="H51" s="27"/>
      <c r="I51" s="28">
        <f>SUM(I52:I61)</f>
        <v>37580.869999999995</v>
      </c>
    </row>
    <row r="52" spans="1:9" s="1" customFormat="1" ht="76.5" x14ac:dyDescent="0.2">
      <c r="A52" s="5" t="s">
        <v>20</v>
      </c>
      <c r="B52" s="167" t="s">
        <v>372</v>
      </c>
      <c r="C52" s="78" t="s">
        <v>387</v>
      </c>
      <c r="D52" s="5" t="s">
        <v>156</v>
      </c>
      <c r="E52" s="45">
        <v>1</v>
      </c>
      <c r="F52" s="29">
        <v>336.97</v>
      </c>
      <c r="G52" s="30">
        <f>TRUNC((F52*(1+$I$11)),2)</f>
        <v>412.68</v>
      </c>
      <c r="H52" s="31">
        <f>TRUNC((E52*F52),2)</f>
        <v>336.97</v>
      </c>
      <c r="I52" s="31">
        <f>TRUNC((E52*G52),2)</f>
        <v>412.68</v>
      </c>
    </row>
    <row r="53" spans="1:9" s="1" customFormat="1" ht="63.75" x14ac:dyDescent="0.2">
      <c r="A53" s="44" t="s">
        <v>22</v>
      </c>
      <c r="B53" s="168" t="s">
        <v>379</v>
      </c>
      <c r="C53" s="174" t="s">
        <v>388</v>
      </c>
      <c r="D53" s="44" t="s">
        <v>156</v>
      </c>
      <c r="E53" s="40">
        <v>12</v>
      </c>
      <c r="F53" s="41">
        <v>215.84</v>
      </c>
      <c r="G53" s="42">
        <f t="shared" ref="G53" si="24">TRUNC((F53*(1+$I$11)),2)</f>
        <v>264.33</v>
      </c>
      <c r="H53" s="36">
        <f t="shared" ref="H53" si="25">TRUNC((E53*F53),2)</f>
        <v>2590.08</v>
      </c>
      <c r="I53" s="36">
        <f t="shared" ref="I53" si="26">TRUNC((E53*G53),2)</f>
        <v>3171.96</v>
      </c>
    </row>
    <row r="54" spans="1:9" s="6" customFormat="1" ht="63.75" x14ac:dyDescent="0.2">
      <c r="A54" s="71" t="s">
        <v>81</v>
      </c>
      <c r="B54" s="169" t="s">
        <v>380</v>
      </c>
      <c r="C54" s="78" t="s">
        <v>389</v>
      </c>
      <c r="D54" s="71" t="s">
        <v>169</v>
      </c>
      <c r="E54" s="45">
        <v>30</v>
      </c>
      <c r="F54" s="29">
        <v>18.600000000000001</v>
      </c>
      <c r="G54" s="30">
        <f>TRUNC((F54*(1+$I$11)),2)</f>
        <v>22.77</v>
      </c>
      <c r="H54" s="31">
        <f>TRUNC((E54*F54),2)</f>
        <v>558</v>
      </c>
      <c r="I54" s="31">
        <f>TRUNC((E54*G54),2)</f>
        <v>683.1</v>
      </c>
    </row>
    <row r="55" spans="1:9" s="6" customFormat="1" ht="51" x14ac:dyDescent="0.2">
      <c r="A55" s="44" t="s">
        <v>84</v>
      </c>
      <c r="B55" s="168" t="s">
        <v>381</v>
      </c>
      <c r="C55" s="174" t="s">
        <v>390</v>
      </c>
      <c r="D55" s="44" t="s">
        <v>169</v>
      </c>
      <c r="E55" s="40">
        <v>140</v>
      </c>
      <c r="F55" s="41">
        <v>15.61</v>
      </c>
      <c r="G55" s="42">
        <f t="shared" ref="G55:G61" si="27">TRUNC((F55*(1+$I$11)),2)</f>
        <v>19.11</v>
      </c>
      <c r="H55" s="36">
        <f t="shared" ref="H55:H61" si="28">TRUNC((E55*F55),2)</f>
        <v>2185.4</v>
      </c>
      <c r="I55" s="36">
        <f t="shared" ref="I55:I61" si="29">TRUNC((E55*G55),2)</f>
        <v>2675.4</v>
      </c>
    </row>
    <row r="56" spans="1:9" s="6" customFormat="1" ht="51" x14ac:dyDescent="0.2">
      <c r="A56" s="71" t="s">
        <v>373</v>
      </c>
      <c r="B56" s="169" t="s">
        <v>382</v>
      </c>
      <c r="C56" s="78" t="s">
        <v>391</v>
      </c>
      <c r="D56" s="71" t="s">
        <v>169</v>
      </c>
      <c r="E56" s="45">
        <v>750</v>
      </c>
      <c r="F56" s="29">
        <v>7.45</v>
      </c>
      <c r="G56" s="30">
        <f t="shared" si="27"/>
        <v>9.1199999999999992</v>
      </c>
      <c r="H56" s="31">
        <f t="shared" si="28"/>
        <v>5587.5</v>
      </c>
      <c r="I56" s="31">
        <f t="shared" si="29"/>
        <v>6840</v>
      </c>
    </row>
    <row r="57" spans="1:9" s="6" customFormat="1" ht="51" x14ac:dyDescent="0.2">
      <c r="A57" s="44" t="s">
        <v>374</v>
      </c>
      <c r="B57" s="168" t="s">
        <v>383</v>
      </c>
      <c r="C57" s="174" t="s">
        <v>392</v>
      </c>
      <c r="D57" s="44" t="s">
        <v>156</v>
      </c>
      <c r="E57" s="40">
        <v>5</v>
      </c>
      <c r="F57" s="41">
        <v>11.31</v>
      </c>
      <c r="G57" s="42">
        <f t="shared" si="27"/>
        <v>13.85</v>
      </c>
      <c r="H57" s="36">
        <f t="shared" si="28"/>
        <v>56.55</v>
      </c>
      <c r="I57" s="36">
        <f t="shared" si="29"/>
        <v>69.25</v>
      </c>
    </row>
    <row r="58" spans="1:9" s="6" customFormat="1" ht="51" x14ac:dyDescent="0.2">
      <c r="A58" s="71" t="s">
        <v>375</v>
      </c>
      <c r="B58" s="169" t="s">
        <v>384</v>
      </c>
      <c r="C58" s="78" t="s">
        <v>393</v>
      </c>
      <c r="D58" s="71" t="s">
        <v>156</v>
      </c>
      <c r="E58" s="45">
        <v>1</v>
      </c>
      <c r="F58" s="29">
        <v>73.77</v>
      </c>
      <c r="G58" s="30">
        <f t="shared" si="27"/>
        <v>90.34</v>
      </c>
      <c r="H58" s="31">
        <f t="shared" si="28"/>
        <v>73.77</v>
      </c>
      <c r="I58" s="31">
        <f t="shared" si="29"/>
        <v>90.34</v>
      </c>
    </row>
    <row r="59" spans="1:9" s="6" customFormat="1" ht="51" x14ac:dyDescent="0.2">
      <c r="A59" s="44" t="s">
        <v>376</v>
      </c>
      <c r="B59" s="168" t="s">
        <v>385</v>
      </c>
      <c r="C59" s="174" t="s">
        <v>394</v>
      </c>
      <c r="D59" s="44" t="s">
        <v>156</v>
      </c>
      <c r="E59" s="40">
        <v>1</v>
      </c>
      <c r="F59" s="41">
        <v>19.68</v>
      </c>
      <c r="G59" s="42">
        <f t="shared" si="27"/>
        <v>24.1</v>
      </c>
      <c r="H59" s="36">
        <f t="shared" si="28"/>
        <v>19.68</v>
      </c>
      <c r="I59" s="36">
        <f t="shared" si="29"/>
        <v>24.1</v>
      </c>
    </row>
    <row r="60" spans="1:9" s="6" customFormat="1" ht="51" x14ac:dyDescent="0.2">
      <c r="A60" s="71" t="s">
        <v>377</v>
      </c>
      <c r="B60" s="169" t="s">
        <v>386</v>
      </c>
      <c r="C60" s="78" t="s">
        <v>395</v>
      </c>
      <c r="D60" s="71" t="s">
        <v>156</v>
      </c>
      <c r="E60" s="45">
        <v>1</v>
      </c>
      <c r="F60" s="29">
        <v>21.72</v>
      </c>
      <c r="G60" s="30">
        <f t="shared" si="27"/>
        <v>26.6</v>
      </c>
      <c r="H60" s="31">
        <f t="shared" si="28"/>
        <v>21.72</v>
      </c>
      <c r="I60" s="31">
        <f t="shared" si="29"/>
        <v>26.6</v>
      </c>
    </row>
    <row r="61" spans="1:9" s="6" customFormat="1" ht="76.5" x14ac:dyDescent="0.2">
      <c r="A61" s="44" t="s">
        <v>378</v>
      </c>
      <c r="B61" s="175" t="s">
        <v>495</v>
      </c>
      <c r="C61" s="176" t="s">
        <v>277</v>
      </c>
      <c r="D61" s="44" t="s">
        <v>156</v>
      </c>
      <c r="E61" s="40">
        <v>4</v>
      </c>
      <c r="F61" s="41">
        <v>4814.95</v>
      </c>
      <c r="G61" s="42">
        <f t="shared" si="27"/>
        <v>5896.86</v>
      </c>
      <c r="H61" s="36">
        <f t="shared" si="28"/>
        <v>19259.8</v>
      </c>
      <c r="I61" s="36">
        <f t="shared" si="29"/>
        <v>23587.439999999999</v>
      </c>
    </row>
    <row r="62" spans="1:9" s="6" customFormat="1" ht="7.5" customHeight="1" x14ac:dyDescent="0.2">
      <c r="A62" s="159"/>
      <c r="B62" s="159"/>
      <c r="C62" s="159"/>
      <c r="D62" s="159"/>
      <c r="E62" s="159"/>
      <c r="F62" s="159"/>
      <c r="G62" s="159"/>
      <c r="H62" s="159"/>
      <c r="I62" s="160"/>
    </row>
    <row r="63" spans="1:9" s="1" customFormat="1" ht="12.75" x14ac:dyDescent="0.2">
      <c r="A63" s="3" t="str">
        <f>MEMÓRIA!A291</f>
        <v>7.0</v>
      </c>
      <c r="B63" s="24"/>
      <c r="C63" s="48" t="str">
        <f>MEMÓRIA!B291</f>
        <v>REVESTIMENTOS</v>
      </c>
      <c r="D63" s="25"/>
      <c r="E63" s="26"/>
      <c r="F63" s="26"/>
      <c r="G63" s="26"/>
      <c r="H63" s="27"/>
      <c r="I63" s="28">
        <f>SUM(I64:I66)</f>
        <v>72968.100000000006</v>
      </c>
    </row>
    <row r="64" spans="1:9" s="1" customFormat="1" ht="89.25" x14ac:dyDescent="0.2">
      <c r="A64" s="5" t="str">
        <f>MEMÓRIA!A292</f>
        <v>7.1</v>
      </c>
      <c r="B64" s="167" t="s">
        <v>208</v>
      </c>
      <c r="C64" s="78" t="str">
        <f>MEMÓRIA!B292</f>
        <v>CHAPISCO  APLICADO  EM  ALVENARIA  (SEM  PRESENÇA  DE  VÃOS)  E ESTRUTURAS   DE   CONCRETO   DE   FACHADA,   COM   COLHER   DE PEDREIRO.  ARGAMASSA  TRAÇO  1:3  COM  PREPARO  EM  BETONEIRA 400L. AF_06/2014.</v>
      </c>
      <c r="D64" s="5" t="str">
        <f>MEMÓRIA!L292</f>
        <v>M²</v>
      </c>
      <c r="E64" s="45">
        <f>TRUNC(MEMÓRIA!H297,2)</f>
        <v>146</v>
      </c>
      <c r="F64" s="29">
        <v>6.32</v>
      </c>
      <c r="G64" s="30">
        <f>TRUNC((F64*(1+$I$11)),2)</f>
        <v>7.74</v>
      </c>
      <c r="H64" s="31">
        <f>TRUNC((E64*F64),2)</f>
        <v>922.72</v>
      </c>
      <c r="I64" s="31">
        <f>TRUNC((E64*G64),2)</f>
        <v>1130.04</v>
      </c>
    </row>
    <row r="65" spans="1:9" s="1" customFormat="1" ht="89.25" x14ac:dyDescent="0.2">
      <c r="A65" s="44" t="str">
        <f>MEMÓRIA!A299</f>
        <v>7.2</v>
      </c>
      <c r="B65" s="168" t="s">
        <v>209</v>
      </c>
      <c r="C65" s="174" t="str">
        <f>MEMÓRIA!B299</f>
        <v>EMBOÇO OU MASSA ÚNICA EM ARGAMASSA TRAÇO 1:2:8, PREPARO MECÂNICO COM BETONEIRA 400 L, APLICADA MANUALMENTE EM PANOS CEGOS DE FACHADA SEM PRESENÇA DE VÃOS), ESPESSURA DE 25 MM. AF_06/2014.</v>
      </c>
      <c r="D65" s="44" t="str">
        <f>MEMÓRIA!L299</f>
        <v>M²</v>
      </c>
      <c r="E65" s="40">
        <f>TRUNC(MEMÓRIA!H304,2)</f>
        <v>146</v>
      </c>
      <c r="F65" s="41">
        <v>34.07</v>
      </c>
      <c r="G65" s="42">
        <f t="shared" ref="G65:G66" si="30">TRUNC((F65*(1+$I$11)),2)</f>
        <v>41.72</v>
      </c>
      <c r="H65" s="36">
        <f t="shared" ref="H65:H66" si="31">TRUNC((E65*F65),2)</f>
        <v>4974.22</v>
      </c>
      <c r="I65" s="36">
        <f t="shared" ref="I65:I66" si="32">TRUNC((E65*G65),2)</f>
        <v>6091.12</v>
      </c>
    </row>
    <row r="66" spans="1:9" s="6" customFormat="1" ht="63.75" x14ac:dyDescent="0.2">
      <c r="A66" s="82" t="str">
        <f>MEMÓRIA!A306</f>
        <v>7.3</v>
      </c>
      <c r="B66" s="171" t="s">
        <v>472</v>
      </c>
      <c r="C66" s="80" t="str">
        <f>MEMÓRIA!B306</f>
        <v>ATERRO COM AREIA FINA, COMPACTADO MECANICAMENTE, INCLUSIVE AQUISIÇÃO EM DEPÓSITO DE MATERIAL, TRANSPORTE E ESPALHAMENTO MANUAL DO MATERIAL.</v>
      </c>
      <c r="D66" s="82" t="str">
        <f>MEMÓRIA!L306</f>
        <v>M³</v>
      </c>
      <c r="E66" s="45">
        <f>TRUNC(MEMÓRIA!H312,2)</f>
        <v>393.6</v>
      </c>
      <c r="F66" s="46">
        <v>136.4</v>
      </c>
      <c r="G66" s="47">
        <f t="shared" si="30"/>
        <v>167.04</v>
      </c>
      <c r="H66" s="31">
        <f t="shared" si="31"/>
        <v>53687.040000000001</v>
      </c>
      <c r="I66" s="31">
        <f t="shared" si="32"/>
        <v>65746.94</v>
      </c>
    </row>
    <row r="67" spans="1:9" s="6" customFormat="1" ht="7.5" customHeight="1" x14ac:dyDescent="0.2">
      <c r="A67" s="159"/>
      <c r="B67" s="159"/>
      <c r="C67" s="159"/>
      <c r="D67" s="159"/>
      <c r="E67" s="159"/>
      <c r="F67" s="159"/>
      <c r="G67" s="159"/>
      <c r="H67" s="159"/>
      <c r="I67" s="160"/>
    </row>
    <row r="68" spans="1:9" s="1" customFormat="1" ht="12.75" x14ac:dyDescent="0.2">
      <c r="A68" s="3" t="str">
        <f>MEMÓRIA!A314</f>
        <v>8.0</v>
      </c>
      <c r="B68" s="24"/>
      <c r="C68" s="51" t="str">
        <f>MEMÓRIA!B314</f>
        <v>PINTURA</v>
      </c>
      <c r="D68" s="25"/>
      <c r="E68" s="26"/>
      <c r="F68" s="26"/>
      <c r="G68" s="26"/>
      <c r="H68" s="27"/>
      <c r="I68" s="28">
        <f>SUM(I69:I73)</f>
        <v>8703.42</v>
      </c>
    </row>
    <row r="69" spans="1:9" s="1" customFormat="1" ht="38.25" x14ac:dyDescent="0.2">
      <c r="A69" s="5" t="str">
        <f>MEMÓRIA!A315</f>
        <v>8.1</v>
      </c>
      <c r="B69" s="167" t="s">
        <v>214</v>
      </c>
      <c r="C69" s="78" t="str">
        <f>MEMÓRIA!B315</f>
        <v>FUNDO SELADOR ACRÍLICO, APLICAÇÃO MANUAL EM PAREDE, UMA DEMÃO. AF_04/202</v>
      </c>
      <c r="D69" s="5" t="str">
        <f>MEMÓRIA!L315</f>
        <v>M²</v>
      </c>
      <c r="E69" s="45">
        <f>TRUNC(MEMÓRIA!H320,2)</f>
        <v>146</v>
      </c>
      <c r="F69" s="29">
        <v>3.3</v>
      </c>
      <c r="G69" s="30">
        <f t="shared" ref="G69:G73" si="33">TRUNC((F69*(1+$I$11)),2)</f>
        <v>4.04</v>
      </c>
      <c r="H69" s="31">
        <f t="shared" ref="H69:H73" si="34">TRUNC((E69*F69),2)</f>
        <v>481.8</v>
      </c>
      <c r="I69" s="31">
        <f t="shared" ref="I69:I73" si="35">TRUNC((E69*G69),2)</f>
        <v>589.84</v>
      </c>
    </row>
    <row r="70" spans="1:9" s="1" customFormat="1" ht="51" x14ac:dyDescent="0.2">
      <c r="A70" s="44" t="str">
        <f>MEMÓRIA!A322</f>
        <v>8.2</v>
      </c>
      <c r="B70" s="168" t="s">
        <v>215</v>
      </c>
      <c r="C70" s="174" t="str">
        <f>MEMÓRIA!B322</f>
        <v>APLICAÇÃO MANUAL DE PINTURA COM TINTA TEXTURIZADA ACRÍLICA EM PAREDES EXTERNAS DE CASAS, UMA COR. AF_03/2024.</v>
      </c>
      <c r="D70" s="44" t="str">
        <f>MEMÓRIA!L322</f>
        <v>M²</v>
      </c>
      <c r="E70" s="40">
        <f>TRUNC(MEMÓRIA!H327,2)</f>
        <v>146</v>
      </c>
      <c r="F70" s="41">
        <v>20.47</v>
      </c>
      <c r="G70" s="42">
        <f t="shared" si="33"/>
        <v>25.06</v>
      </c>
      <c r="H70" s="36">
        <f t="shared" si="34"/>
        <v>2988.62</v>
      </c>
      <c r="I70" s="36">
        <f t="shared" si="35"/>
        <v>3658.76</v>
      </c>
    </row>
    <row r="71" spans="1:9" s="6" customFormat="1" ht="63.75" x14ac:dyDescent="0.2">
      <c r="A71" s="71" t="str">
        <f>MEMÓRIA!A329</f>
        <v>8.3</v>
      </c>
      <c r="B71" s="169" t="s">
        <v>350</v>
      </c>
      <c r="C71" s="78" t="str">
        <f>MEMÓRIA!B329</f>
        <v>PINTURA COM TINTA ALQUÍDICA DE FUNDO (TIPO ZARCÃO) APLICADA A ROLO OU PINCEL SOBRE PERFIL METÁLICO EXECUTADO EM FÁBRICA (POR DEMÃO). AF_01/2020</v>
      </c>
      <c r="D71" s="71" t="str">
        <f>MEMÓRIA!L329</f>
        <v>M²</v>
      </c>
      <c r="E71" s="177">
        <f>TRUNC(MEMÓRIA!H347,2)</f>
        <v>97.83</v>
      </c>
      <c r="F71" s="178">
        <v>10.27</v>
      </c>
      <c r="G71" s="30">
        <f t="shared" si="33"/>
        <v>12.57</v>
      </c>
      <c r="H71" s="179">
        <f t="shared" si="34"/>
        <v>1004.71</v>
      </c>
      <c r="I71" s="179">
        <f t="shared" si="35"/>
        <v>1229.72</v>
      </c>
    </row>
    <row r="72" spans="1:9" s="1" customFormat="1" ht="76.5" x14ac:dyDescent="0.2">
      <c r="A72" s="44" t="str">
        <f>MEMÓRIA!A349</f>
        <v>8.4</v>
      </c>
      <c r="B72" s="175" t="s">
        <v>351</v>
      </c>
      <c r="C72" s="176" t="str">
        <f>MEMÓRIA!B349</f>
        <v>PINTURA COM TINTA ALQUÍDICA DE FUNDO E ACABAMENTO (ESMALTE SINTÉTICO GRAFITE) PULVERIZADA SOBRE SUPERFÍCIES METÁLICAS (EXCETO PERFIL) EXECUTADO EM OBRA (POR DEMÃO). AF_01/2020_PE</v>
      </c>
      <c r="D72" s="44" t="str">
        <f>MEMÓRIA!L349</f>
        <v>M²</v>
      </c>
      <c r="E72" s="85">
        <f>TRUNC(MEMÓRIA!H367,2)</f>
        <v>97.83</v>
      </c>
      <c r="F72" s="86">
        <v>24.32</v>
      </c>
      <c r="G72" s="42">
        <f t="shared" si="33"/>
        <v>29.78</v>
      </c>
      <c r="H72" s="36">
        <f t="shared" si="34"/>
        <v>2379.2199999999998</v>
      </c>
      <c r="I72" s="36">
        <f t="shared" si="35"/>
        <v>2913.37</v>
      </c>
    </row>
    <row r="73" spans="1:9" s="6" customFormat="1" ht="26.25" customHeight="1" x14ac:dyDescent="0.2">
      <c r="A73" s="82" t="s">
        <v>411</v>
      </c>
      <c r="B73" s="171" t="s">
        <v>413</v>
      </c>
      <c r="C73" s="80" t="str">
        <f>MEMÓRIA!B369</f>
        <v>PINTURA DE MEIO-FIO COM TINTA BRANCA A BASE DE CAL (CAIAÇÃO). AF_05/2021</v>
      </c>
      <c r="D73" s="82" t="str">
        <f>MEMÓRIA!L369</f>
        <v>M</v>
      </c>
      <c r="E73" s="45">
        <f>TRUNC(MEMÓRIA!H375,2)</f>
        <v>175.13</v>
      </c>
      <c r="F73" s="46">
        <v>1.46</v>
      </c>
      <c r="G73" s="47">
        <f t="shared" si="33"/>
        <v>1.78</v>
      </c>
      <c r="H73" s="31">
        <f t="shared" si="34"/>
        <v>255.68</v>
      </c>
      <c r="I73" s="31">
        <f t="shared" si="35"/>
        <v>311.73</v>
      </c>
    </row>
    <row r="74" spans="1:9" s="6" customFormat="1" ht="7.5" customHeight="1" x14ac:dyDescent="0.2">
      <c r="A74" s="159"/>
      <c r="B74" s="159"/>
      <c r="C74" s="159"/>
      <c r="D74" s="159"/>
      <c r="E74" s="159"/>
      <c r="F74" s="159"/>
      <c r="G74" s="159"/>
      <c r="H74" s="159"/>
      <c r="I74" s="160"/>
    </row>
    <row r="75" spans="1:9" s="1" customFormat="1" ht="12.75" x14ac:dyDescent="0.2">
      <c r="A75" s="3" t="str">
        <f>MEMÓRIA!A377</f>
        <v>9.0</v>
      </c>
      <c r="B75" s="24"/>
      <c r="C75" s="48" t="str">
        <f>MEMÓRIA!B377</f>
        <v>PAVIMENTAÇÃO</v>
      </c>
      <c r="D75" s="25"/>
      <c r="E75" s="26"/>
      <c r="F75" s="26"/>
      <c r="G75" s="26"/>
      <c r="H75" s="27"/>
      <c r="I75" s="28">
        <f>SUM(I76:I77)</f>
        <v>46099.68</v>
      </c>
    </row>
    <row r="76" spans="1:9" s="1" customFormat="1" ht="51" x14ac:dyDescent="0.2">
      <c r="A76" s="5" t="str">
        <f>MEMÓRIA!A378</f>
        <v>9.1</v>
      </c>
      <c r="B76" s="167" t="s">
        <v>217</v>
      </c>
      <c r="C76" s="78" t="str">
        <f>MEMÓRIA!B378</f>
        <v>EXECUÇÃO DE PASSEIO EM PISO INTERTRAVADO, COM BLOCO RETANGULAR COR NATURAL DE 20 X 10 CM, ESPESSURA  6  CM. AF_12/2015.</v>
      </c>
      <c r="D76" s="5" t="str">
        <f>MEMÓRIA!L378</f>
        <v>M²</v>
      </c>
      <c r="E76" s="45">
        <f>TRUNC(MEMÓRIA!H382,2)</f>
        <v>396.67</v>
      </c>
      <c r="F76" s="29">
        <v>75.31</v>
      </c>
      <c r="G76" s="30">
        <f t="shared" ref="G76:G77" si="36">TRUNC((F76*(1+$I$11)),2)</f>
        <v>92.23</v>
      </c>
      <c r="H76" s="31">
        <f t="shared" ref="H76:H77" si="37">TRUNC((E76*F76),2)</f>
        <v>29873.21</v>
      </c>
      <c r="I76" s="31">
        <f t="shared" ref="I76:I77" si="38">TRUNC((E76*G76),2)</f>
        <v>36584.870000000003</v>
      </c>
    </row>
    <row r="77" spans="1:9" s="1" customFormat="1" ht="76.5" x14ac:dyDescent="0.2">
      <c r="A77" s="44" t="str">
        <f>MEMÓRIA!A384</f>
        <v>9.2</v>
      </c>
      <c r="B77" s="175" t="s">
        <v>361</v>
      </c>
      <c r="C77" s="176" t="str">
        <f>MEMÓRIA!B384</f>
        <v>ASSENTAMENTO DE GUIA (MEIO-FIO) EM TRECHO RETO, CONFECCIONADA EM CONCRETO PRÉ-FABRICADO, DIMENSÕES 100X15X13X30 CM (COMPRIMENTO X BASE INFERIOR X BASE SUPERIOR X ALTURA). AF_01/2024</v>
      </c>
      <c r="D77" s="44" t="str">
        <f>MEMÓRIA!L384</f>
        <v>M</v>
      </c>
      <c r="E77" s="40">
        <f>TRUNC(MEMÓRIA!H390,2)</f>
        <v>175.13</v>
      </c>
      <c r="F77" s="41">
        <v>44.37</v>
      </c>
      <c r="G77" s="42">
        <f t="shared" si="36"/>
        <v>54.33</v>
      </c>
      <c r="H77" s="36">
        <f t="shared" si="37"/>
        <v>7770.51</v>
      </c>
      <c r="I77" s="36">
        <f t="shared" si="38"/>
        <v>9514.81</v>
      </c>
    </row>
    <row r="78" spans="1:9" s="6" customFormat="1" ht="7.5" customHeight="1" x14ac:dyDescent="0.2">
      <c r="A78" s="159"/>
      <c r="B78" s="159"/>
      <c r="C78" s="159"/>
      <c r="D78" s="159"/>
      <c r="E78" s="159"/>
      <c r="F78" s="159"/>
      <c r="G78" s="159"/>
      <c r="H78" s="159"/>
      <c r="I78" s="160"/>
    </row>
    <row r="79" spans="1:9" s="1" customFormat="1" ht="12.75" x14ac:dyDescent="0.2">
      <c r="A79" s="3" t="str">
        <f>MEMÓRIA!A392</f>
        <v>10.0</v>
      </c>
      <c r="B79" s="24"/>
      <c r="C79" s="48" t="str">
        <f>MEMÓRIA!B392</f>
        <v>SERVIÇOS COMPLEMENTARES</v>
      </c>
      <c r="D79" s="25"/>
      <c r="E79" s="26"/>
      <c r="F79" s="26"/>
      <c r="G79" s="26"/>
      <c r="H79" s="27"/>
      <c r="I79" s="28">
        <f>SUM(I80:I86)</f>
        <v>108989.09000000001</v>
      </c>
    </row>
    <row r="80" spans="1:9" s="1" customFormat="1" ht="51" x14ac:dyDescent="0.2">
      <c r="A80" s="71" t="str">
        <f>MEMÓRIA!A393</f>
        <v>10.1</v>
      </c>
      <c r="B80" s="167" t="s">
        <v>473</v>
      </c>
      <c r="C80" s="78" t="str">
        <f>MEMÓRIA!B393</f>
        <v>PORTAO EM TELA ARAME GALVANIZADO N.12 MALHA 2" E MOLDURA EM TUBOS DE AÇO COM UMA FOLHA DE ABRIR, INCLUSO FERRAGENS.</v>
      </c>
      <c r="D80" s="71" t="str">
        <f>MEMÓRIA!L393</f>
        <v>M²</v>
      </c>
      <c r="E80" s="45">
        <v>2</v>
      </c>
      <c r="F80" s="29">
        <v>849.26</v>
      </c>
      <c r="G80" s="30">
        <f t="shared" ref="G80" si="39">TRUNC((F80*(1+$I$11)),2)</f>
        <v>1040.08</v>
      </c>
      <c r="H80" s="31">
        <f t="shared" ref="H80" si="40">TRUNC((E80*F80),2)</f>
        <v>1698.52</v>
      </c>
      <c r="I80" s="31">
        <f t="shared" ref="I80" si="41">TRUNC((E80*G80),2)</f>
        <v>2080.16</v>
      </c>
    </row>
    <row r="81" spans="1:10" s="1" customFormat="1" ht="114.75" x14ac:dyDescent="0.2">
      <c r="A81" s="4" t="str">
        <f>MEMÓRIA!A401</f>
        <v>10.2</v>
      </c>
      <c r="B81" s="168" t="s">
        <v>366</v>
      </c>
      <c r="C81" s="174" t="str">
        <f>MEMÓRIA!B401</f>
        <v>ALAMBRADO PARA QUADRA POLIESPORTIVA, ESTRUTURADO POR TUBOS DE ACO GALVANIZADO, (MONTANTES COM DIAMETRO 2", TRAVESSAS E ESCORAS COM DIÂMETRO 1 ¼), COM TELA DE ARAME GALVANIZADO, FIO 14 BWG E MALHA QUADRADA 5X5CM (EXCETO MURETA). AF_03/2021.</v>
      </c>
      <c r="D81" s="4" t="str">
        <f>MEMÓRIA!L401</f>
        <v>M²</v>
      </c>
      <c r="E81" s="33">
        <f>TRUNC(MEMÓRIA!H413,2)</f>
        <v>506.8</v>
      </c>
      <c r="F81" s="34">
        <v>141.21</v>
      </c>
      <c r="G81" s="35">
        <f t="shared" ref="G81:G86" si="42">TRUNC((F81*(1+$I$11)),2)</f>
        <v>172.93</v>
      </c>
      <c r="H81" s="36">
        <f t="shared" ref="H81:H86" si="43">TRUNC((E81*F81),2)</f>
        <v>71565.22</v>
      </c>
      <c r="I81" s="36">
        <f t="shared" ref="I81:I86" si="44">TRUNC((E81*G81),2)</f>
        <v>87640.92</v>
      </c>
    </row>
    <row r="82" spans="1:10" s="1" customFormat="1" ht="76.5" x14ac:dyDescent="0.2">
      <c r="A82" s="258" t="str">
        <f>MEMÓRIA!A415</f>
        <v>10.3</v>
      </c>
      <c r="B82" s="259" t="s">
        <v>424</v>
      </c>
      <c r="C82" s="260" t="str">
        <f>MEMÓRIA!B415</f>
        <v>TUBO DE AÇO GALVANIZADO COM COSTURA, CLASSE MÉDIA, CONEXÃO RANHURADA, DN 50 (2"), INSTALADO EM PRUMADAS - FORNECIMENTO E INSTALAÇÃO. AF_10/2020 (ENGASTAMENTO NA FUNDAÇÃO).</v>
      </c>
      <c r="D82" s="258" t="str">
        <f>MEMÓRIA!L415</f>
        <v>M</v>
      </c>
      <c r="E82" s="37">
        <f>TRUNC(MEMÓRIA!H422,2)</f>
        <v>62.5</v>
      </c>
      <c r="F82" s="29">
        <v>73.430000000000007</v>
      </c>
      <c r="G82" s="30">
        <f t="shared" ref="G82" si="45">TRUNC((F82*(1+$I$11)),2)</f>
        <v>89.92</v>
      </c>
      <c r="H82" s="31">
        <f t="shared" ref="H82" si="46">TRUNC((E82*F82),2)</f>
        <v>4589.37</v>
      </c>
      <c r="I82" s="31">
        <f t="shared" ref="I82" si="47">TRUNC((E82*G82),2)</f>
        <v>5620</v>
      </c>
    </row>
    <row r="83" spans="1:10" s="1" customFormat="1" ht="76.5" x14ac:dyDescent="0.2">
      <c r="A83" s="44" t="str">
        <f>MEMÓRIA!A424</f>
        <v>10.4</v>
      </c>
      <c r="B83" s="168" t="s">
        <v>474</v>
      </c>
      <c r="C83" s="174" t="str">
        <f>MEMÓRIA!B424</f>
        <v>CONJUNTO PARA QUADRA DE VOLEI COM POSTES EM TUBO DE ACO GALVANIZADO 3", H = *255* CM, PINTURA EM TINTA ESMALTE SINTETICO, REDE DE NYLON COM 2 MM, MALHA 10 X 10 CM E ANTENAS OFICIAIS EM FIBRA DE VIDRO.</v>
      </c>
      <c r="D83" s="44" t="str">
        <f>MEMÓRIA!L424</f>
        <v>UND</v>
      </c>
      <c r="E83" s="40">
        <f>TRUNC(MEMÓRIA!H427,2)</f>
        <v>2</v>
      </c>
      <c r="F83" s="41">
        <v>2152.7399999999998</v>
      </c>
      <c r="G83" s="42">
        <f t="shared" si="42"/>
        <v>2636.46</v>
      </c>
      <c r="H83" s="36">
        <f t="shared" si="43"/>
        <v>4305.4799999999996</v>
      </c>
      <c r="I83" s="36">
        <f t="shared" si="44"/>
        <v>5272.92</v>
      </c>
    </row>
    <row r="84" spans="1:10" s="1" customFormat="1" ht="63.75" x14ac:dyDescent="0.2">
      <c r="A84" s="5" t="str">
        <f>MEMÓRIA!A429</f>
        <v>10.5</v>
      </c>
      <c r="B84" s="167" t="s">
        <v>477</v>
      </c>
      <c r="C84" s="78" t="str">
        <f>MEMÓRIA!B429</f>
        <v>CONFECÇÃO DE TRAVE PARA CAMPO DE FUTEBOL DE AREIA (BEACH SOCCER), EM TUBO DE AÇO GALVANIZADO 4", COM DIMENÇÕES DE 5,00X2,20X1,50 M. REDE INCLUSA.</v>
      </c>
      <c r="D84" s="5" t="str">
        <f>MEMÓRIA!L429</f>
        <v>UND</v>
      </c>
      <c r="E84" s="37">
        <f>TRUNC(MEMÓRIA!H432,2)</f>
        <v>2</v>
      </c>
      <c r="F84" s="29">
        <v>2961.18</v>
      </c>
      <c r="G84" s="30">
        <f t="shared" si="42"/>
        <v>3626.55</v>
      </c>
      <c r="H84" s="31">
        <f t="shared" si="43"/>
        <v>5922.36</v>
      </c>
      <c r="I84" s="31">
        <f t="shared" si="44"/>
        <v>7253.1</v>
      </c>
    </row>
    <row r="85" spans="1:10" s="1" customFormat="1" ht="27.75" customHeight="1" x14ac:dyDescent="0.2">
      <c r="A85" s="4" t="str">
        <f>MEMÓRIA!A434</f>
        <v>10.6</v>
      </c>
      <c r="B85" s="168" t="s">
        <v>484</v>
      </c>
      <c r="C85" s="79" t="str">
        <f>MEMÓRIA!B434</f>
        <v>DESMOBILIZAÇÂO DE EQUIPAMENTOS EM CAMINHÃO EQUIPADO COM GUINDASTE.</v>
      </c>
      <c r="D85" s="4" t="str">
        <f>MEMÓRIA!L434</f>
        <v>KM</v>
      </c>
      <c r="E85" s="38">
        <f>TRUNC(MEMÓRIA!H437,2)</f>
        <v>80</v>
      </c>
      <c r="F85" s="39">
        <v>4.3099999999999996</v>
      </c>
      <c r="G85" s="35">
        <f t="shared" si="42"/>
        <v>5.27</v>
      </c>
      <c r="H85" s="36">
        <f t="shared" si="43"/>
        <v>344.8</v>
      </c>
      <c r="I85" s="36">
        <f t="shared" si="44"/>
        <v>421.6</v>
      </c>
    </row>
    <row r="86" spans="1:10" s="1" customFormat="1" ht="25.5" x14ac:dyDescent="0.2">
      <c r="A86" s="231" t="str">
        <f>MEMÓRIA!A440</f>
        <v>10.7</v>
      </c>
      <c r="B86" s="305" t="s">
        <v>485</v>
      </c>
      <c r="C86" s="306" t="str">
        <f>MEMÓRIA!B440</f>
        <v>LIMPEZA GERAL.</v>
      </c>
      <c r="D86" s="231" t="str">
        <f>MEMÓRIA!L440</f>
        <v>M²</v>
      </c>
      <c r="E86" s="330">
        <f>TRUNC(MEMÓRIA!H444,2)</f>
        <v>39.659999999999997</v>
      </c>
      <c r="F86" s="331">
        <v>14.42</v>
      </c>
      <c r="G86" s="47">
        <f t="shared" si="42"/>
        <v>17.66</v>
      </c>
      <c r="H86" s="179">
        <f t="shared" si="43"/>
        <v>571.89</v>
      </c>
      <c r="I86" s="179">
        <f t="shared" si="44"/>
        <v>700.39</v>
      </c>
    </row>
    <row r="87" spans="1:10" s="6" customFormat="1" ht="7.5" customHeight="1" x14ac:dyDescent="0.2">
      <c r="A87" s="172"/>
      <c r="B87" s="172"/>
      <c r="C87" s="172"/>
      <c r="D87" s="172"/>
      <c r="E87" s="172"/>
      <c r="F87" s="172"/>
      <c r="G87" s="172"/>
      <c r="H87" s="172"/>
      <c r="I87" s="173"/>
    </row>
    <row r="88" spans="1:10" s="10" customFormat="1" ht="12.75" customHeight="1" x14ac:dyDescent="0.2">
      <c r="A88" s="433" t="s">
        <v>103</v>
      </c>
      <c r="B88" s="433"/>
      <c r="C88" s="433"/>
      <c r="D88" s="433"/>
      <c r="E88" s="433"/>
      <c r="F88" s="433"/>
      <c r="G88" s="433"/>
      <c r="H88" s="434"/>
      <c r="I88" s="242">
        <f>I15+I26+I38+I45+I48+I51+I63+I68+I75+I79</f>
        <v>407793.29200000007</v>
      </c>
    </row>
    <row r="89" spans="1:10" s="10" customFormat="1" x14ac:dyDescent="0.2">
      <c r="A89" s="19"/>
      <c r="B89" s="19"/>
      <c r="C89" s="13"/>
      <c r="D89" s="13"/>
      <c r="E89" s="13"/>
      <c r="F89" s="13"/>
      <c r="G89" s="13"/>
      <c r="H89" s="13"/>
      <c r="I89" s="20"/>
    </row>
    <row r="90" spans="1:10" s="1" customFormat="1" ht="26.25" customHeight="1" x14ac:dyDescent="0.2">
      <c r="A90" s="429" t="s">
        <v>483</v>
      </c>
      <c r="B90" s="429"/>
      <c r="C90" s="429"/>
      <c r="D90" s="429"/>
      <c r="E90" s="429"/>
      <c r="F90" s="429"/>
      <c r="G90" s="429"/>
      <c r="H90" s="429"/>
      <c r="I90" s="429"/>
      <c r="J90" s="21"/>
    </row>
    <row r="91" spans="1:10" s="1" customFormat="1" ht="24" customHeight="1" x14ac:dyDescent="0.2">
      <c r="A91" s="429" t="s">
        <v>486</v>
      </c>
      <c r="B91" s="429"/>
      <c r="C91" s="429"/>
      <c r="D91" s="429"/>
      <c r="E91" s="429"/>
      <c r="F91" s="429"/>
      <c r="G91" s="429"/>
      <c r="H91" s="429"/>
      <c r="I91" s="429"/>
      <c r="J91" s="21"/>
    </row>
    <row r="92" spans="1:10" s="10" customFormat="1" x14ac:dyDescent="0.2"/>
    <row r="93" spans="1:10" s="6" customFormat="1" ht="17.100000000000001" customHeight="1" x14ac:dyDescent="0.2">
      <c r="A93" s="428" t="str">
        <f>MEMÓRIA!A446</f>
        <v>Nova Cruz/RN, 03 de setembro de 2024.</v>
      </c>
      <c r="B93" s="428"/>
      <c r="C93" s="428"/>
      <c r="D93" s="428"/>
      <c r="E93" s="428"/>
      <c r="F93" s="428"/>
      <c r="G93" s="428"/>
      <c r="H93" s="428"/>
      <c r="I93" s="428"/>
    </row>
    <row r="94" spans="1:10" s="6" customFormat="1" ht="17.100000000000001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</row>
    <row r="95" spans="1:10" s="10" customFormat="1" ht="21.75" customHeight="1" x14ac:dyDescent="0.2"/>
    <row r="96" spans="1:10" ht="12.95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</row>
    <row r="97" spans="1:9" ht="11.1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</row>
    <row r="98" spans="1:9" ht="11.1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</row>
    <row r="99" spans="1:9" ht="11.1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</row>
    <row r="100" spans="1:9" ht="11.1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">
      <c r="I101" s="256"/>
    </row>
    <row r="103" spans="1:9" x14ac:dyDescent="0.2">
      <c r="I103" s="257"/>
    </row>
    <row r="105" spans="1:9" x14ac:dyDescent="0.2">
      <c r="I105" s="256"/>
    </row>
  </sheetData>
  <mergeCells count="20">
    <mergeCell ref="A93:I93"/>
    <mergeCell ref="A5:I5"/>
    <mergeCell ref="A90:I90"/>
    <mergeCell ref="A91:I91"/>
    <mergeCell ref="A9:I9"/>
    <mergeCell ref="A10:I10"/>
    <mergeCell ref="A7:I7"/>
    <mergeCell ref="A12:I12"/>
    <mergeCell ref="A14:I14"/>
    <mergeCell ref="A88:H88"/>
    <mergeCell ref="A1:A2"/>
    <mergeCell ref="B1:I1"/>
    <mergeCell ref="B2:C2"/>
    <mergeCell ref="A3:I3"/>
    <mergeCell ref="A8:B8"/>
    <mergeCell ref="C8:I8"/>
    <mergeCell ref="A6:B6"/>
    <mergeCell ref="A4:B4"/>
    <mergeCell ref="C4:I4"/>
    <mergeCell ref="C6:I6"/>
  </mergeCells>
  <printOptions horizontalCentered="1"/>
  <pageMargins left="0.19685039370078741" right="0.19685039370078741" top="0.19685039370078741" bottom="0.19685039370078741" header="0" footer="0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zoomScale="80" zoomScaleNormal="80" workbookViewId="0">
      <selection activeCell="L35" sqref="L35"/>
    </sheetView>
  </sheetViews>
  <sheetFormatPr defaultRowHeight="12.75" x14ac:dyDescent="0.2"/>
  <cols>
    <col min="1" max="1" width="20.140625" style="9" bestFit="1" customWidth="1"/>
    <col min="2" max="2" width="75.28515625" style="9" customWidth="1"/>
    <col min="3" max="3" width="10.28515625" style="9" bestFit="1" customWidth="1"/>
    <col min="4" max="4" width="9.28515625" style="9" customWidth="1"/>
    <col min="5" max="5" width="12.42578125" style="9" customWidth="1"/>
    <col min="6" max="6" width="12.140625" style="9" bestFit="1" customWidth="1"/>
    <col min="7" max="7" width="16" style="9" bestFit="1" customWidth="1"/>
    <col min="8" max="11" width="9.140625" style="9"/>
    <col min="12" max="12" width="12.7109375" style="9" bestFit="1" customWidth="1"/>
    <col min="13" max="13" width="9.140625" style="9"/>
    <col min="14" max="14" width="17.42578125" style="9" customWidth="1"/>
    <col min="15" max="16384" width="9.140625" style="9"/>
  </cols>
  <sheetData>
    <row r="1" spans="1:14" s="182" customFormat="1" ht="15.75" customHeight="1" x14ac:dyDescent="0.2">
      <c r="A1" s="444"/>
      <c r="B1" s="445" t="str">
        <f>[2]MEMÓRIA!B1</f>
        <v>MINISTÉRIO DA EDUCAÇÃO - SECRETARIA DE EDUCAÇÃO PROFISSIONAL E TECNOLÓGICA</v>
      </c>
      <c r="C1" s="445"/>
      <c r="D1" s="445"/>
      <c r="E1" s="445"/>
      <c r="F1" s="445"/>
      <c r="G1" s="445"/>
    </row>
    <row r="2" spans="1:14" s="182" customFormat="1" ht="15.75" customHeight="1" x14ac:dyDescent="0.2">
      <c r="A2" s="444"/>
      <c r="B2" s="445" t="str">
        <f>[2]MEMÓRIA!B2</f>
        <v>INSTITUTO FEDERAL DE EDUCAÇÃO, CIÊNCIA E TECNOLÓGIA DO RIO GRANDE DO NORTE - CAMPUS NOVA CRUZ</v>
      </c>
      <c r="C2" s="445"/>
      <c r="D2" s="445"/>
      <c r="E2" s="445"/>
      <c r="F2" s="445"/>
      <c r="G2" s="445"/>
    </row>
    <row r="3" spans="1:14" s="185" customFormat="1" ht="5.0999999999999996" customHeight="1" x14ac:dyDescent="0.2">
      <c r="A3" s="7"/>
      <c r="B3" s="446"/>
      <c r="C3" s="446"/>
      <c r="D3" s="446"/>
      <c r="E3" s="446"/>
      <c r="F3" s="446"/>
      <c r="G3" s="446"/>
    </row>
    <row r="4" spans="1:14" s="185" customFormat="1" ht="15" customHeight="1" x14ac:dyDescent="0.2">
      <c r="A4" s="7" t="str">
        <f>[3]ORÇAMENTO!A4</f>
        <v>OBRA/SERVIÇOS:</v>
      </c>
      <c r="B4" s="447" t="str">
        <f>MEMÓRIA!C4</f>
        <v>CONSTRUÇÃO DE UMA ARENA DE BEACH SOCCER.</v>
      </c>
      <c r="C4" s="446"/>
      <c r="D4" s="446"/>
      <c r="E4" s="446"/>
      <c r="F4" s="446"/>
      <c r="G4" s="446"/>
    </row>
    <row r="5" spans="1:14" s="185" customFormat="1" ht="5.0999999999999996" customHeight="1" x14ac:dyDescent="0.2">
      <c r="A5" s="7"/>
      <c r="B5" s="447"/>
      <c r="C5" s="446"/>
      <c r="D5" s="446"/>
      <c r="E5" s="446"/>
      <c r="F5" s="446"/>
      <c r="G5" s="446"/>
    </row>
    <row r="6" spans="1:14" s="185" customFormat="1" ht="15" customHeight="1" x14ac:dyDescent="0.2">
      <c r="A6" s="7" t="str">
        <f>[3]ORÇAMENTO!A6</f>
        <v>LOCAL DA OBRA:</v>
      </c>
      <c r="B6" s="447" t="str">
        <f>MEMÓRIA!C6</f>
        <v>IFRN - CAMPUS NOVA CRUZ/RN.</v>
      </c>
      <c r="C6" s="446"/>
      <c r="D6" s="446"/>
      <c r="E6" s="446"/>
      <c r="F6" s="446"/>
      <c r="G6" s="446"/>
    </row>
    <row r="7" spans="1:14" s="185" customFormat="1" ht="5.0999999999999996" customHeight="1" x14ac:dyDescent="0.2">
      <c r="A7" s="7"/>
      <c r="B7" s="447"/>
      <c r="C7" s="446"/>
      <c r="D7" s="446"/>
      <c r="E7" s="446"/>
      <c r="F7" s="446"/>
      <c r="G7" s="446"/>
    </row>
    <row r="8" spans="1:14" s="185" customFormat="1" ht="15" customHeight="1" x14ac:dyDescent="0.2">
      <c r="A8" s="7" t="str">
        <f>[3]ORÇAMENTO!A8</f>
        <v>ÁREA CONSTRUÍDA:</v>
      </c>
      <c r="B8" s="447" t="str">
        <f>MEMÓRIA!C8</f>
        <v>1.770,48 m²</v>
      </c>
      <c r="C8" s="446"/>
      <c r="D8" s="446"/>
      <c r="E8" s="446"/>
      <c r="F8" s="446"/>
      <c r="G8" s="446"/>
    </row>
    <row r="9" spans="1:14" ht="15.75" x14ac:dyDescent="0.2">
      <c r="A9" s="207"/>
      <c r="B9" s="207"/>
      <c r="C9" s="207"/>
      <c r="D9" s="207"/>
      <c r="E9" s="207"/>
      <c r="F9" s="207"/>
      <c r="G9" s="207"/>
    </row>
    <row r="10" spans="1:14" ht="15.75" x14ac:dyDescent="0.2">
      <c r="A10" s="448" t="s">
        <v>404</v>
      </c>
      <c r="B10" s="448"/>
      <c r="C10" s="448"/>
      <c r="D10" s="448"/>
      <c r="E10" s="448"/>
      <c r="F10" s="448"/>
      <c r="G10" s="448"/>
    </row>
    <row r="11" spans="1:14" ht="15.75" x14ac:dyDescent="0.2">
      <c r="A11" s="207"/>
      <c r="B11" s="207"/>
      <c r="C11" s="207"/>
      <c r="D11" s="207"/>
      <c r="E11" s="207"/>
      <c r="F11" s="207"/>
      <c r="G11" s="207"/>
    </row>
    <row r="12" spans="1:14" ht="30" customHeight="1" x14ac:dyDescent="0.2">
      <c r="A12" s="208" t="s">
        <v>405</v>
      </c>
      <c r="B12" s="449" t="str">
        <f>[2]Orçamento!C21</f>
        <v>ADMINISTRAÇÃO LOCAL DA OBRA, PARA CRONOGRAMA DE 7 MESES, EM CONFORMIDADE COM O ACÓRDÃO N°2.622/2013, ONDE A TAXA DE ADMINISTRAÇÃO LOCAL DA OBRA DEVE VARIAR ENTRE 3,49% E 8,87%.</v>
      </c>
      <c r="C12" s="449"/>
      <c r="D12" s="449"/>
      <c r="E12" s="449"/>
      <c r="F12" s="449"/>
      <c r="G12" s="209" t="str">
        <f>[2]Orçamento!D21</f>
        <v>%</v>
      </c>
    </row>
    <row r="13" spans="1:14" ht="5.0999999999999996" customHeight="1" x14ac:dyDescent="0.2"/>
    <row r="14" spans="1:14" ht="15" customHeight="1" x14ac:dyDescent="0.2">
      <c r="A14" s="210" t="s">
        <v>25</v>
      </c>
      <c r="B14" s="211" t="s">
        <v>52</v>
      </c>
      <c r="C14" s="211" t="s">
        <v>53</v>
      </c>
      <c r="D14" s="211" t="s">
        <v>54</v>
      </c>
      <c r="E14" s="212" t="s">
        <v>55</v>
      </c>
      <c r="F14" s="211" t="s">
        <v>56</v>
      </c>
      <c r="G14" s="213" t="s">
        <v>57</v>
      </c>
    </row>
    <row r="15" spans="1:14" ht="15" customHeight="1" x14ac:dyDescent="0.2">
      <c r="A15" s="214" t="s">
        <v>114</v>
      </c>
      <c r="B15" s="215" t="s">
        <v>115</v>
      </c>
      <c r="C15" s="216" t="s">
        <v>23</v>
      </c>
      <c r="D15" s="216" t="s">
        <v>116</v>
      </c>
      <c r="E15" s="240">
        <v>0.19519990000000001</v>
      </c>
      <c r="F15" s="217">
        <v>10310.709999999999</v>
      </c>
      <c r="G15" s="218">
        <f>E15*F15</f>
        <v>2012.649560929</v>
      </c>
      <c r="J15" s="262"/>
      <c r="L15" s="239"/>
      <c r="N15" s="263"/>
    </row>
    <row r="16" spans="1:14" ht="15" customHeight="1" x14ac:dyDescent="0.2">
      <c r="A16" s="214" t="s">
        <v>117</v>
      </c>
      <c r="B16" s="215" t="s">
        <v>118</v>
      </c>
      <c r="C16" s="216" t="s">
        <v>23</v>
      </c>
      <c r="D16" s="216" t="s">
        <v>58</v>
      </c>
      <c r="E16" s="240">
        <f>E15</f>
        <v>0.19519990000000001</v>
      </c>
      <c r="F16" s="217">
        <v>148.41</v>
      </c>
      <c r="G16" s="218">
        <f>E16*F16</f>
        <v>28.969617159000002</v>
      </c>
      <c r="J16" s="262"/>
      <c r="L16" s="239"/>
      <c r="N16" s="263"/>
    </row>
    <row r="17" spans="1:12" ht="15" customHeight="1" x14ac:dyDescent="0.2">
      <c r="A17" s="442" t="s">
        <v>119</v>
      </c>
      <c r="B17" s="442"/>
      <c r="C17" s="442"/>
      <c r="D17" s="442"/>
      <c r="E17" s="442"/>
      <c r="F17" s="443"/>
      <c r="G17" s="219">
        <f>SUM(G15:G16)</f>
        <v>2041.6191780880001</v>
      </c>
    </row>
    <row r="18" spans="1:12" ht="15" customHeight="1" x14ac:dyDescent="0.2">
      <c r="A18" s="437" t="s">
        <v>278</v>
      </c>
      <c r="B18" s="438"/>
      <c r="C18" s="438"/>
      <c r="D18" s="438"/>
      <c r="E18" s="438"/>
      <c r="F18" s="438"/>
      <c r="G18" s="220">
        <f>TRUNC(G17*7,2)</f>
        <v>14291.33</v>
      </c>
      <c r="L18" s="239"/>
    </row>
    <row r="21" spans="1:12" ht="12.75" customHeight="1" x14ac:dyDescent="0.2">
      <c r="C21" s="439" t="s">
        <v>406</v>
      </c>
      <c r="D21" s="439"/>
      <c r="E21" s="439"/>
      <c r="F21" s="439"/>
      <c r="G21" s="221">
        <v>390290.7</v>
      </c>
    </row>
    <row r="22" spans="1:12" x14ac:dyDescent="0.2">
      <c r="C22" s="440">
        <v>3.49E-2</v>
      </c>
      <c r="D22" s="440"/>
      <c r="E22" s="441" t="s">
        <v>407</v>
      </c>
      <c r="F22" s="441"/>
      <c r="G22" s="221">
        <f>$G$21*C22</f>
        <v>13621.14543</v>
      </c>
    </row>
    <row r="23" spans="1:12" x14ac:dyDescent="0.2">
      <c r="C23" s="440">
        <v>8.8700000000000001E-2</v>
      </c>
      <c r="D23" s="440"/>
      <c r="E23" s="441" t="s">
        <v>407</v>
      </c>
      <c r="F23" s="441"/>
      <c r="G23" s="221">
        <f>$G$21*C23</f>
        <v>34618.785090000005</v>
      </c>
    </row>
    <row r="26" spans="1:12" x14ac:dyDescent="0.2">
      <c r="C26" s="435" t="s">
        <v>408</v>
      </c>
      <c r="D26" s="435"/>
      <c r="E26" s="435"/>
      <c r="F26" s="435"/>
      <c r="G26" s="222">
        <f>G18</f>
        <v>14291.33</v>
      </c>
    </row>
    <row r="27" spans="1:12" x14ac:dyDescent="0.2">
      <c r="C27" s="435" t="s">
        <v>409</v>
      </c>
      <c r="D27" s="435"/>
      <c r="E27" s="435"/>
      <c r="F27" s="435"/>
      <c r="G27" s="223">
        <f>G26*C22/G22</f>
        <v>3.6617142043097621E-2</v>
      </c>
    </row>
    <row r="30" spans="1:12" x14ac:dyDescent="0.2">
      <c r="A30" s="436" t="str">
        <f>BDI!A44</f>
        <v>Nova Cruz/RN, 03 de setembro de 2024.</v>
      </c>
      <c r="B30" s="436"/>
      <c r="C30" s="436"/>
      <c r="D30" s="436"/>
      <c r="E30" s="436"/>
      <c r="F30" s="436"/>
      <c r="G30" s="436"/>
    </row>
  </sheetData>
  <mergeCells count="21">
    <mergeCell ref="A17:F17"/>
    <mergeCell ref="A1:A2"/>
    <mergeCell ref="B1:G1"/>
    <mergeCell ref="B2:G2"/>
    <mergeCell ref="B3:G3"/>
    <mergeCell ref="B4:G4"/>
    <mergeCell ref="B5:G5"/>
    <mergeCell ref="B6:G6"/>
    <mergeCell ref="B7:G7"/>
    <mergeCell ref="B8:G8"/>
    <mergeCell ref="A10:G10"/>
    <mergeCell ref="B12:F12"/>
    <mergeCell ref="C26:F26"/>
    <mergeCell ref="C27:F27"/>
    <mergeCell ref="A30:G30"/>
    <mergeCell ref="A18:F18"/>
    <mergeCell ref="C21:F21"/>
    <mergeCell ref="C22:D22"/>
    <mergeCell ref="E22:F22"/>
    <mergeCell ref="C23:D23"/>
    <mergeCell ref="E23:F23"/>
  </mergeCells>
  <printOptions horizontalCentered="1"/>
  <pageMargins left="0.39370078740157483" right="0.39370078740157483" top="0.78740157480314965" bottom="0.78740157480314965" header="0" footer="0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1"/>
  <sheetViews>
    <sheetView showZeros="0" topLeftCell="A10" zoomScaleNormal="100" workbookViewId="0">
      <selection activeCell="K59" sqref="K59"/>
    </sheetView>
  </sheetViews>
  <sheetFormatPr defaultRowHeight="12" x14ac:dyDescent="0.2"/>
  <cols>
    <col min="1" max="1" width="5" style="10" bestFit="1" customWidth="1"/>
    <col min="2" max="2" width="13" style="10" customWidth="1"/>
    <col min="3" max="3" width="21.140625" style="10" customWidth="1"/>
    <col min="4" max="4" width="12.42578125" style="10" bestFit="1" customWidth="1"/>
    <col min="5" max="5" width="7.7109375" style="10" bestFit="1" customWidth="1"/>
    <col min="6" max="15" width="12.7109375" style="10" customWidth="1"/>
    <col min="16" max="259" width="9.140625" style="10"/>
    <col min="260" max="260" width="5.85546875" style="10" customWidth="1"/>
    <col min="261" max="261" width="43.42578125" style="10" customWidth="1"/>
    <col min="262" max="262" width="14.7109375" style="10" customWidth="1"/>
    <col min="263" max="263" width="9.7109375" style="10" customWidth="1"/>
    <col min="264" max="268" width="14.7109375" style="10" customWidth="1"/>
    <col min="269" max="515" width="9.140625" style="10"/>
    <col min="516" max="516" width="5.85546875" style="10" customWidth="1"/>
    <col min="517" max="517" width="43.42578125" style="10" customWidth="1"/>
    <col min="518" max="518" width="14.7109375" style="10" customWidth="1"/>
    <col min="519" max="519" width="9.7109375" style="10" customWidth="1"/>
    <col min="520" max="524" width="14.7109375" style="10" customWidth="1"/>
    <col min="525" max="771" width="9.140625" style="10"/>
    <col min="772" max="772" width="5.85546875" style="10" customWidth="1"/>
    <col min="773" max="773" width="43.42578125" style="10" customWidth="1"/>
    <col min="774" max="774" width="14.7109375" style="10" customWidth="1"/>
    <col min="775" max="775" width="9.7109375" style="10" customWidth="1"/>
    <col min="776" max="780" width="14.7109375" style="10" customWidth="1"/>
    <col min="781" max="1027" width="9.140625" style="10"/>
    <col min="1028" max="1028" width="5.85546875" style="10" customWidth="1"/>
    <col min="1029" max="1029" width="43.42578125" style="10" customWidth="1"/>
    <col min="1030" max="1030" width="14.7109375" style="10" customWidth="1"/>
    <col min="1031" max="1031" width="9.7109375" style="10" customWidth="1"/>
    <col min="1032" max="1036" width="14.7109375" style="10" customWidth="1"/>
    <col min="1037" max="1283" width="9.140625" style="10"/>
    <col min="1284" max="1284" width="5.85546875" style="10" customWidth="1"/>
    <col min="1285" max="1285" width="43.42578125" style="10" customWidth="1"/>
    <col min="1286" max="1286" width="14.7109375" style="10" customWidth="1"/>
    <col min="1287" max="1287" width="9.7109375" style="10" customWidth="1"/>
    <col min="1288" max="1292" width="14.7109375" style="10" customWidth="1"/>
    <col min="1293" max="1539" width="9.140625" style="10"/>
    <col min="1540" max="1540" width="5.85546875" style="10" customWidth="1"/>
    <col min="1541" max="1541" width="43.42578125" style="10" customWidth="1"/>
    <col min="1542" max="1542" width="14.7109375" style="10" customWidth="1"/>
    <col min="1543" max="1543" width="9.7109375" style="10" customWidth="1"/>
    <col min="1544" max="1548" width="14.7109375" style="10" customWidth="1"/>
    <col min="1549" max="1795" width="9.140625" style="10"/>
    <col min="1796" max="1796" width="5.85546875" style="10" customWidth="1"/>
    <col min="1797" max="1797" width="43.42578125" style="10" customWidth="1"/>
    <col min="1798" max="1798" width="14.7109375" style="10" customWidth="1"/>
    <col min="1799" max="1799" width="9.7109375" style="10" customWidth="1"/>
    <col min="1800" max="1804" width="14.7109375" style="10" customWidth="1"/>
    <col min="1805" max="2051" width="9.140625" style="10"/>
    <col min="2052" max="2052" width="5.85546875" style="10" customWidth="1"/>
    <col min="2053" max="2053" width="43.42578125" style="10" customWidth="1"/>
    <col min="2054" max="2054" width="14.7109375" style="10" customWidth="1"/>
    <col min="2055" max="2055" width="9.7109375" style="10" customWidth="1"/>
    <col min="2056" max="2060" width="14.7109375" style="10" customWidth="1"/>
    <col min="2061" max="2307" width="9.140625" style="10"/>
    <col min="2308" max="2308" width="5.85546875" style="10" customWidth="1"/>
    <col min="2309" max="2309" width="43.42578125" style="10" customWidth="1"/>
    <col min="2310" max="2310" width="14.7109375" style="10" customWidth="1"/>
    <col min="2311" max="2311" width="9.7109375" style="10" customWidth="1"/>
    <col min="2312" max="2316" width="14.7109375" style="10" customWidth="1"/>
    <col min="2317" max="2563" width="9.140625" style="10"/>
    <col min="2564" max="2564" width="5.85546875" style="10" customWidth="1"/>
    <col min="2565" max="2565" width="43.42578125" style="10" customWidth="1"/>
    <col min="2566" max="2566" width="14.7109375" style="10" customWidth="1"/>
    <col min="2567" max="2567" width="9.7109375" style="10" customWidth="1"/>
    <col min="2568" max="2572" width="14.7109375" style="10" customWidth="1"/>
    <col min="2573" max="2819" width="9.140625" style="10"/>
    <col min="2820" max="2820" width="5.85546875" style="10" customWidth="1"/>
    <col min="2821" max="2821" width="43.42578125" style="10" customWidth="1"/>
    <col min="2822" max="2822" width="14.7109375" style="10" customWidth="1"/>
    <col min="2823" max="2823" width="9.7109375" style="10" customWidth="1"/>
    <col min="2824" max="2828" width="14.7109375" style="10" customWidth="1"/>
    <col min="2829" max="3075" width="9.140625" style="10"/>
    <col min="3076" max="3076" width="5.85546875" style="10" customWidth="1"/>
    <col min="3077" max="3077" width="43.42578125" style="10" customWidth="1"/>
    <col min="3078" max="3078" width="14.7109375" style="10" customWidth="1"/>
    <col min="3079" max="3079" width="9.7109375" style="10" customWidth="1"/>
    <col min="3080" max="3084" width="14.7109375" style="10" customWidth="1"/>
    <col min="3085" max="3331" width="9.140625" style="10"/>
    <col min="3332" max="3332" width="5.85546875" style="10" customWidth="1"/>
    <col min="3333" max="3333" width="43.42578125" style="10" customWidth="1"/>
    <col min="3334" max="3334" width="14.7109375" style="10" customWidth="1"/>
    <col min="3335" max="3335" width="9.7109375" style="10" customWidth="1"/>
    <col min="3336" max="3340" width="14.7109375" style="10" customWidth="1"/>
    <col min="3341" max="3587" width="9.140625" style="10"/>
    <col min="3588" max="3588" width="5.85546875" style="10" customWidth="1"/>
    <col min="3589" max="3589" width="43.42578125" style="10" customWidth="1"/>
    <col min="3590" max="3590" width="14.7109375" style="10" customWidth="1"/>
    <col min="3591" max="3591" width="9.7109375" style="10" customWidth="1"/>
    <col min="3592" max="3596" width="14.7109375" style="10" customWidth="1"/>
    <col min="3597" max="3843" width="9.140625" style="10"/>
    <col min="3844" max="3844" width="5.85546875" style="10" customWidth="1"/>
    <col min="3845" max="3845" width="43.42578125" style="10" customWidth="1"/>
    <col min="3846" max="3846" width="14.7109375" style="10" customWidth="1"/>
    <col min="3847" max="3847" width="9.7109375" style="10" customWidth="1"/>
    <col min="3848" max="3852" width="14.7109375" style="10" customWidth="1"/>
    <col min="3853" max="4099" width="9.140625" style="10"/>
    <col min="4100" max="4100" width="5.85546875" style="10" customWidth="1"/>
    <col min="4101" max="4101" width="43.42578125" style="10" customWidth="1"/>
    <col min="4102" max="4102" width="14.7109375" style="10" customWidth="1"/>
    <col min="4103" max="4103" width="9.7109375" style="10" customWidth="1"/>
    <col min="4104" max="4108" width="14.7109375" style="10" customWidth="1"/>
    <col min="4109" max="4355" width="9.140625" style="10"/>
    <col min="4356" max="4356" width="5.85546875" style="10" customWidth="1"/>
    <col min="4357" max="4357" width="43.42578125" style="10" customWidth="1"/>
    <col min="4358" max="4358" width="14.7109375" style="10" customWidth="1"/>
    <col min="4359" max="4359" width="9.7109375" style="10" customWidth="1"/>
    <col min="4360" max="4364" width="14.7109375" style="10" customWidth="1"/>
    <col min="4365" max="4611" width="9.140625" style="10"/>
    <col min="4612" max="4612" width="5.85546875" style="10" customWidth="1"/>
    <col min="4613" max="4613" width="43.42578125" style="10" customWidth="1"/>
    <col min="4614" max="4614" width="14.7109375" style="10" customWidth="1"/>
    <col min="4615" max="4615" width="9.7109375" style="10" customWidth="1"/>
    <col min="4616" max="4620" width="14.7109375" style="10" customWidth="1"/>
    <col min="4621" max="4867" width="9.140625" style="10"/>
    <col min="4868" max="4868" width="5.85546875" style="10" customWidth="1"/>
    <col min="4869" max="4869" width="43.42578125" style="10" customWidth="1"/>
    <col min="4870" max="4870" width="14.7109375" style="10" customWidth="1"/>
    <col min="4871" max="4871" width="9.7109375" style="10" customWidth="1"/>
    <col min="4872" max="4876" width="14.7109375" style="10" customWidth="1"/>
    <col min="4877" max="5123" width="9.140625" style="10"/>
    <col min="5124" max="5124" width="5.85546875" style="10" customWidth="1"/>
    <col min="5125" max="5125" width="43.42578125" style="10" customWidth="1"/>
    <col min="5126" max="5126" width="14.7109375" style="10" customWidth="1"/>
    <col min="5127" max="5127" width="9.7109375" style="10" customWidth="1"/>
    <col min="5128" max="5132" width="14.7109375" style="10" customWidth="1"/>
    <col min="5133" max="5379" width="9.140625" style="10"/>
    <col min="5380" max="5380" width="5.85546875" style="10" customWidth="1"/>
    <col min="5381" max="5381" width="43.42578125" style="10" customWidth="1"/>
    <col min="5382" max="5382" width="14.7109375" style="10" customWidth="1"/>
    <col min="5383" max="5383" width="9.7109375" style="10" customWidth="1"/>
    <col min="5384" max="5388" width="14.7109375" style="10" customWidth="1"/>
    <col min="5389" max="5635" width="9.140625" style="10"/>
    <col min="5636" max="5636" width="5.85546875" style="10" customWidth="1"/>
    <col min="5637" max="5637" width="43.42578125" style="10" customWidth="1"/>
    <col min="5638" max="5638" width="14.7109375" style="10" customWidth="1"/>
    <col min="5639" max="5639" width="9.7109375" style="10" customWidth="1"/>
    <col min="5640" max="5644" width="14.7109375" style="10" customWidth="1"/>
    <col min="5645" max="5891" width="9.140625" style="10"/>
    <col min="5892" max="5892" width="5.85546875" style="10" customWidth="1"/>
    <col min="5893" max="5893" width="43.42578125" style="10" customWidth="1"/>
    <col min="5894" max="5894" width="14.7109375" style="10" customWidth="1"/>
    <col min="5895" max="5895" width="9.7109375" style="10" customWidth="1"/>
    <col min="5896" max="5900" width="14.7109375" style="10" customWidth="1"/>
    <col min="5901" max="6147" width="9.140625" style="10"/>
    <col min="6148" max="6148" width="5.85546875" style="10" customWidth="1"/>
    <col min="6149" max="6149" width="43.42578125" style="10" customWidth="1"/>
    <col min="6150" max="6150" width="14.7109375" style="10" customWidth="1"/>
    <col min="6151" max="6151" width="9.7109375" style="10" customWidth="1"/>
    <col min="6152" max="6156" width="14.7109375" style="10" customWidth="1"/>
    <col min="6157" max="6403" width="9.140625" style="10"/>
    <col min="6404" max="6404" width="5.85546875" style="10" customWidth="1"/>
    <col min="6405" max="6405" width="43.42578125" style="10" customWidth="1"/>
    <col min="6406" max="6406" width="14.7109375" style="10" customWidth="1"/>
    <col min="6407" max="6407" width="9.7109375" style="10" customWidth="1"/>
    <col min="6408" max="6412" width="14.7109375" style="10" customWidth="1"/>
    <col min="6413" max="6659" width="9.140625" style="10"/>
    <col min="6660" max="6660" width="5.85546875" style="10" customWidth="1"/>
    <col min="6661" max="6661" width="43.42578125" style="10" customWidth="1"/>
    <col min="6662" max="6662" width="14.7109375" style="10" customWidth="1"/>
    <col min="6663" max="6663" width="9.7109375" style="10" customWidth="1"/>
    <col min="6664" max="6668" width="14.7109375" style="10" customWidth="1"/>
    <col min="6669" max="6915" width="9.140625" style="10"/>
    <col min="6916" max="6916" width="5.85546875" style="10" customWidth="1"/>
    <col min="6917" max="6917" width="43.42578125" style="10" customWidth="1"/>
    <col min="6918" max="6918" width="14.7109375" style="10" customWidth="1"/>
    <col min="6919" max="6919" width="9.7109375" style="10" customWidth="1"/>
    <col min="6920" max="6924" width="14.7109375" style="10" customWidth="1"/>
    <col min="6925" max="7171" width="9.140625" style="10"/>
    <col min="7172" max="7172" width="5.85546875" style="10" customWidth="1"/>
    <col min="7173" max="7173" width="43.42578125" style="10" customWidth="1"/>
    <col min="7174" max="7174" width="14.7109375" style="10" customWidth="1"/>
    <col min="7175" max="7175" width="9.7109375" style="10" customWidth="1"/>
    <col min="7176" max="7180" width="14.7109375" style="10" customWidth="1"/>
    <col min="7181" max="7427" width="9.140625" style="10"/>
    <col min="7428" max="7428" width="5.85546875" style="10" customWidth="1"/>
    <col min="7429" max="7429" width="43.42578125" style="10" customWidth="1"/>
    <col min="7430" max="7430" width="14.7109375" style="10" customWidth="1"/>
    <col min="7431" max="7431" width="9.7109375" style="10" customWidth="1"/>
    <col min="7432" max="7436" width="14.7109375" style="10" customWidth="1"/>
    <col min="7437" max="7683" width="9.140625" style="10"/>
    <col min="7684" max="7684" width="5.85546875" style="10" customWidth="1"/>
    <col min="7685" max="7685" width="43.42578125" style="10" customWidth="1"/>
    <col min="7686" max="7686" width="14.7109375" style="10" customWidth="1"/>
    <col min="7687" max="7687" width="9.7109375" style="10" customWidth="1"/>
    <col min="7688" max="7692" width="14.7109375" style="10" customWidth="1"/>
    <col min="7693" max="7939" width="9.140625" style="10"/>
    <col min="7940" max="7940" width="5.85546875" style="10" customWidth="1"/>
    <col min="7941" max="7941" width="43.42578125" style="10" customWidth="1"/>
    <col min="7942" max="7942" width="14.7109375" style="10" customWidth="1"/>
    <col min="7943" max="7943" width="9.7109375" style="10" customWidth="1"/>
    <col min="7944" max="7948" width="14.7109375" style="10" customWidth="1"/>
    <col min="7949" max="8195" width="9.140625" style="10"/>
    <col min="8196" max="8196" width="5.85546875" style="10" customWidth="1"/>
    <col min="8197" max="8197" width="43.42578125" style="10" customWidth="1"/>
    <col min="8198" max="8198" width="14.7109375" style="10" customWidth="1"/>
    <col min="8199" max="8199" width="9.7109375" style="10" customWidth="1"/>
    <col min="8200" max="8204" width="14.7109375" style="10" customWidth="1"/>
    <col min="8205" max="8451" width="9.140625" style="10"/>
    <col min="8452" max="8452" width="5.85546875" style="10" customWidth="1"/>
    <col min="8453" max="8453" width="43.42578125" style="10" customWidth="1"/>
    <col min="8454" max="8454" width="14.7109375" style="10" customWidth="1"/>
    <col min="8455" max="8455" width="9.7109375" style="10" customWidth="1"/>
    <col min="8456" max="8460" width="14.7109375" style="10" customWidth="1"/>
    <col min="8461" max="8707" width="9.140625" style="10"/>
    <col min="8708" max="8708" width="5.85546875" style="10" customWidth="1"/>
    <col min="8709" max="8709" width="43.42578125" style="10" customWidth="1"/>
    <col min="8710" max="8710" width="14.7109375" style="10" customWidth="1"/>
    <col min="8711" max="8711" width="9.7109375" style="10" customWidth="1"/>
    <col min="8712" max="8716" width="14.7109375" style="10" customWidth="1"/>
    <col min="8717" max="8963" width="9.140625" style="10"/>
    <col min="8964" max="8964" width="5.85546875" style="10" customWidth="1"/>
    <col min="8965" max="8965" width="43.42578125" style="10" customWidth="1"/>
    <col min="8966" max="8966" width="14.7109375" style="10" customWidth="1"/>
    <col min="8967" max="8967" width="9.7109375" style="10" customWidth="1"/>
    <col min="8968" max="8972" width="14.7109375" style="10" customWidth="1"/>
    <col min="8973" max="9219" width="9.140625" style="10"/>
    <col min="9220" max="9220" width="5.85546875" style="10" customWidth="1"/>
    <col min="9221" max="9221" width="43.42578125" style="10" customWidth="1"/>
    <col min="9222" max="9222" width="14.7109375" style="10" customWidth="1"/>
    <col min="9223" max="9223" width="9.7109375" style="10" customWidth="1"/>
    <col min="9224" max="9228" width="14.7109375" style="10" customWidth="1"/>
    <col min="9229" max="9475" width="9.140625" style="10"/>
    <col min="9476" max="9476" width="5.85546875" style="10" customWidth="1"/>
    <col min="9477" max="9477" width="43.42578125" style="10" customWidth="1"/>
    <col min="9478" max="9478" width="14.7109375" style="10" customWidth="1"/>
    <col min="9479" max="9479" width="9.7109375" style="10" customWidth="1"/>
    <col min="9480" max="9484" width="14.7109375" style="10" customWidth="1"/>
    <col min="9485" max="9731" width="9.140625" style="10"/>
    <col min="9732" max="9732" width="5.85546875" style="10" customWidth="1"/>
    <col min="9733" max="9733" width="43.42578125" style="10" customWidth="1"/>
    <col min="9734" max="9734" width="14.7109375" style="10" customWidth="1"/>
    <col min="9735" max="9735" width="9.7109375" style="10" customWidth="1"/>
    <col min="9736" max="9740" width="14.7109375" style="10" customWidth="1"/>
    <col min="9741" max="9987" width="9.140625" style="10"/>
    <col min="9988" max="9988" width="5.85546875" style="10" customWidth="1"/>
    <col min="9989" max="9989" width="43.42578125" style="10" customWidth="1"/>
    <col min="9990" max="9990" width="14.7109375" style="10" customWidth="1"/>
    <col min="9991" max="9991" width="9.7109375" style="10" customWidth="1"/>
    <col min="9992" max="9996" width="14.7109375" style="10" customWidth="1"/>
    <col min="9997" max="10243" width="9.140625" style="10"/>
    <col min="10244" max="10244" width="5.85546875" style="10" customWidth="1"/>
    <col min="10245" max="10245" width="43.42578125" style="10" customWidth="1"/>
    <col min="10246" max="10246" width="14.7109375" style="10" customWidth="1"/>
    <col min="10247" max="10247" width="9.7109375" style="10" customWidth="1"/>
    <col min="10248" max="10252" width="14.7109375" style="10" customWidth="1"/>
    <col min="10253" max="10499" width="9.140625" style="10"/>
    <col min="10500" max="10500" width="5.85546875" style="10" customWidth="1"/>
    <col min="10501" max="10501" width="43.42578125" style="10" customWidth="1"/>
    <col min="10502" max="10502" width="14.7109375" style="10" customWidth="1"/>
    <col min="10503" max="10503" width="9.7109375" style="10" customWidth="1"/>
    <col min="10504" max="10508" width="14.7109375" style="10" customWidth="1"/>
    <col min="10509" max="10755" width="9.140625" style="10"/>
    <col min="10756" max="10756" width="5.85546875" style="10" customWidth="1"/>
    <col min="10757" max="10757" width="43.42578125" style="10" customWidth="1"/>
    <col min="10758" max="10758" width="14.7109375" style="10" customWidth="1"/>
    <col min="10759" max="10759" width="9.7109375" style="10" customWidth="1"/>
    <col min="10760" max="10764" width="14.7109375" style="10" customWidth="1"/>
    <col min="10765" max="11011" width="9.140625" style="10"/>
    <col min="11012" max="11012" width="5.85546875" style="10" customWidth="1"/>
    <col min="11013" max="11013" width="43.42578125" style="10" customWidth="1"/>
    <col min="11014" max="11014" width="14.7109375" style="10" customWidth="1"/>
    <col min="11015" max="11015" width="9.7109375" style="10" customWidth="1"/>
    <col min="11016" max="11020" width="14.7109375" style="10" customWidth="1"/>
    <col min="11021" max="11267" width="9.140625" style="10"/>
    <col min="11268" max="11268" width="5.85546875" style="10" customWidth="1"/>
    <col min="11269" max="11269" width="43.42578125" style="10" customWidth="1"/>
    <col min="11270" max="11270" width="14.7109375" style="10" customWidth="1"/>
    <col min="11271" max="11271" width="9.7109375" style="10" customWidth="1"/>
    <col min="11272" max="11276" width="14.7109375" style="10" customWidth="1"/>
    <col min="11277" max="11523" width="9.140625" style="10"/>
    <col min="11524" max="11524" width="5.85546875" style="10" customWidth="1"/>
    <col min="11525" max="11525" width="43.42578125" style="10" customWidth="1"/>
    <col min="11526" max="11526" width="14.7109375" style="10" customWidth="1"/>
    <col min="11527" max="11527" width="9.7109375" style="10" customWidth="1"/>
    <col min="11528" max="11532" width="14.7109375" style="10" customWidth="1"/>
    <col min="11533" max="11779" width="9.140625" style="10"/>
    <col min="11780" max="11780" width="5.85546875" style="10" customWidth="1"/>
    <col min="11781" max="11781" width="43.42578125" style="10" customWidth="1"/>
    <col min="11782" max="11782" width="14.7109375" style="10" customWidth="1"/>
    <col min="11783" max="11783" width="9.7109375" style="10" customWidth="1"/>
    <col min="11784" max="11788" width="14.7109375" style="10" customWidth="1"/>
    <col min="11789" max="12035" width="9.140625" style="10"/>
    <col min="12036" max="12036" width="5.85546875" style="10" customWidth="1"/>
    <col min="12037" max="12037" width="43.42578125" style="10" customWidth="1"/>
    <col min="12038" max="12038" width="14.7109375" style="10" customWidth="1"/>
    <col min="12039" max="12039" width="9.7109375" style="10" customWidth="1"/>
    <col min="12040" max="12044" width="14.7109375" style="10" customWidth="1"/>
    <col min="12045" max="12291" width="9.140625" style="10"/>
    <col min="12292" max="12292" width="5.85546875" style="10" customWidth="1"/>
    <col min="12293" max="12293" width="43.42578125" style="10" customWidth="1"/>
    <col min="12294" max="12294" width="14.7109375" style="10" customWidth="1"/>
    <col min="12295" max="12295" width="9.7109375" style="10" customWidth="1"/>
    <col min="12296" max="12300" width="14.7109375" style="10" customWidth="1"/>
    <col min="12301" max="12547" width="9.140625" style="10"/>
    <col min="12548" max="12548" width="5.85546875" style="10" customWidth="1"/>
    <col min="12549" max="12549" width="43.42578125" style="10" customWidth="1"/>
    <col min="12550" max="12550" width="14.7109375" style="10" customWidth="1"/>
    <col min="12551" max="12551" width="9.7109375" style="10" customWidth="1"/>
    <col min="12552" max="12556" width="14.7109375" style="10" customWidth="1"/>
    <col min="12557" max="12803" width="9.140625" style="10"/>
    <col min="12804" max="12804" width="5.85546875" style="10" customWidth="1"/>
    <col min="12805" max="12805" width="43.42578125" style="10" customWidth="1"/>
    <col min="12806" max="12806" width="14.7109375" style="10" customWidth="1"/>
    <col min="12807" max="12807" width="9.7109375" style="10" customWidth="1"/>
    <col min="12808" max="12812" width="14.7109375" style="10" customWidth="1"/>
    <col min="12813" max="13059" width="9.140625" style="10"/>
    <col min="13060" max="13060" width="5.85546875" style="10" customWidth="1"/>
    <col min="13061" max="13061" width="43.42578125" style="10" customWidth="1"/>
    <col min="13062" max="13062" width="14.7109375" style="10" customWidth="1"/>
    <col min="13063" max="13063" width="9.7109375" style="10" customWidth="1"/>
    <col min="13064" max="13068" width="14.7109375" style="10" customWidth="1"/>
    <col min="13069" max="13315" width="9.140625" style="10"/>
    <col min="13316" max="13316" width="5.85546875" style="10" customWidth="1"/>
    <col min="13317" max="13317" width="43.42578125" style="10" customWidth="1"/>
    <col min="13318" max="13318" width="14.7109375" style="10" customWidth="1"/>
    <col min="13319" max="13319" width="9.7109375" style="10" customWidth="1"/>
    <col min="13320" max="13324" width="14.7109375" style="10" customWidth="1"/>
    <col min="13325" max="13571" width="9.140625" style="10"/>
    <col min="13572" max="13572" width="5.85546875" style="10" customWidth="1"/>
    <col min="13573" max="13573" width="43.42578125" style="10" customWidth="1"/>
    <col min="13574" max="13574" width="14.7109375" style="10" customWidth="1"/>
    <col min="13575" max="13575" width="9.7109375" style="10" customWidth="1"/>
    <col min="13576" max="13580" width="14.7109375" style="10" customWidth="1"/>
    <col min="13581" max="13827" width="9.140625" style="10"/>
    <col min="13828" max="13828" width="5.85546875" style="10" customWidth="1"/>
    <col min="13829" max="13829" width="43.42578125" style="10" customWidth="1"/>
    <col min="13830" max="13830" width="14.7109375" style="10" customWidth="1"/>
    <col min="13831" max="13831" width="9.7109375" style="10" customWidth="1"/>
    <col min="13832" max="13836" width="14.7109375" style="10" customWidth="1"/>
    <col min="13837" max="14083" width="9.140625" style="10"/>
    <col min="14084" max="14084" width="5.85546875" style="10" customWidth="1"/>
    <col min="14085" max="14085" width="43.42578125" style="10" customWidth="1"/>
    <col min="14086" max="14086" width="14.7109375" style="10" customWidth="1"/>
    <col min="14087" max="14087" width="9.7109375" style="10" customWidth="1"/>
    <col min="14088" max="14092" width="14.7109375" style="10" customWidth="1"/>
    <col min="14093" max="14339" width="9.140625" style="10"/>
    <col min="14340" max="14340" width="5.85546875" style="10" customWidth="1"/>
    <col min="14341" max="14341" width="43.42578125" style="10" customWidth="1"/>
    <col min="14342" max="14342" width="14.7109375" style="10" customWidth="1"/>
    <col min="14343" max="14343" width="9.7109375" style="10" customWidth="1"/>
    <col min="14344" max="14348" width="14.7109375" style="10" customWidth="1"/>
    <col min="14349" max="14595" width="9.140625" style="10"/>
    <col min="14596" max="14596" width="5.85546875" style="10" customWidth="1"/>
    <col min="14597" max="14597" width="43.42578125" style="10" customWidth="1"/>
    <col min="14598" max="14598" width="14.7109375" style="10" customWidth="1"/>
    <col min="14599" max="14599" width="9.7109375" style="10" customWidth="1"/>
    <col min="14600" max="14604" width="14.7109375" style="10" customWidth="1"/>
    <col min="14605" max="14851" width="9.140625" style="10"/>
    <col min="14852" max="14852" width="5.85546875" style="10" customWidth="1"/>
    <col min="14853" max="14853" width="43.42578125" style="10" customWidth="1"/>
    <col min="14854" max="14854" width="14.7109375" style="10" customWidth="1"/>
    <col min="14855" max="14855" width="9.7109375" style="10" customWidth="1"/>
    <col min="14856" max="14860" width="14.7109375" style="10" customWidth="1"/>
    <col min="14861" max="15107" width="9.140625" style="10"/>
    <col min="15108" max="15108" width="5.85546875" style="10" customWidth="1"/>
    <col min="15109" max="15109" width="43.42578125" style="10" customWidth="1"/>
    <col min="15110" max="15110" width="14.7109375" style="10" customWidth="1"/>
    <col min="15111" max="15111" width="9.7109375" style="10" customWidth="1"/>
    <col min="15112" max="15116" width="14.7109375" style="10" customWidth="1"/>
    <col min="15117" max="15363" width="9.140625" style="10"/>
    <col min="15364" max="15364" width="5.85546875" style="10" customWidth="1"/>
    <col min="15365" max="15365" width="43.42578125" style="10" customWidth="1"/>
    <col min="15366" max="15366" width="14.7109375" style="10" customWidth="1"/>
    <col min="15367" max="15367" width="9.7109375" style="10" customWidth="1"/>
    <col min="15368" max="15372" width="14.7109375" style="10" customWidth="1"/>
    <col min="15373" max="15619" width="9.140625" style="10"/>
    <col min="15620" max="15620" width="5.85546875" style="10" customWidth="1"/>
    <col min="15621" max="15621" width="43.42578125" style="10" customWidth="1"/>
    <col min="15622" max="15622" width="14.7109375" style="10" customWidth="1"/>
    <col min="15623" max="15623" width="9.7109375" style="10" customWidth="1"/>
    <col min="15624" max="15628" width="14.7109375" style="10" customWidth="1"/>
    <col min="15629" max="15875" width="9.140625" style="10"/>
    <col min="15876" max="15876" width="5.85546875" style="10" customWidth="1"/>
    <col min="15877" max="15877" width="43.42578125" style="10" customWidth="1"/>
    <col min="15878" max="15878" width="14.7109375" style="10" customWidth="1"/>
    <col min="15879" max="15879" width="9.7109375" style="10" customWidth="1"/>
    <col min="15880" max="15884" width="14.7109375" style="10" customWidth="1"/>
    <col min="15885" max="16131" width="9.140625" style="10"/>
    <col min="16132" max="16132" width="5.85546875" style="10" customWidth="1"/>
    <col min="16133" max="16133" width="43.42578125" style="10" customWidth="1"/>
    <col min="16134" max="16134" width="14.7109375" style="10" customWidth="1"/>
    <col min="16135" max="16135" width="9.7109375" style="10" customWidth="1"/>
    <col min="16136" max="16140" width="14.7109375" style="10" customWidth="1"/>
    <col min="16141" max="16384" width="9.140625" style="10"/>
  </cols>
  <sheetData>
    <row r="1" spans="1:16" ht="17.25" customHeight="1" x14ac:dyDescent="0.2">
      <c r="A1" s="422"/>
      <c r="B1" s="423" t="s">
        <v>19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</row>
    <row r="2" spans="1:16" ht="15" customHeight="1" x14ac:dyDescent="0.2">
      <c r="A2" s="422"/>
      <c r="B2" s="423" t="s">
        <v>24</v>
      </c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</row>
    <row r="3" spans="1:16" ht="12" customHeight="1" x14ac:dyDescent="0.2">
      <c r="A3" s="424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</row>
    <row r="4" spans="1:16" ht="15" customHeight="1" x14ac:dyDescent="0.2">
      <c r="A4" s="427" t="str">
        <f>MEMÓRIA!A4</f>
        <v>OBRA/SERVIÇOS:</v>
      </c>
      <c r="B4" s="423"/>
      <c r="C4" s="426" t="str">
        <f>MEMÓRIA!C4</f>
        <v>CONSTRUÇÃO DE UMA ARENA DE BEACH SOCCER.</v>
      </c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</row>
    <row r="5" spans="1:16" ht="5.0999999999999996" customHeight="1" x14ac:dyDescent="0.2">
      <c r="A5" s="478"/>
      <c r="B5" s="478"/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</row>
    <row r="6" spans="1:16" ht="15" customHeight="1" x14ac:dyDescent="0.2">
      <c r="A6" s="427" t="str">
        <f>MEMÓRIA!A6</f>
        <v>LOCAL DA OBRA:</v>
      </c>
      <c r="B6" s="423"/>
      <c r="C6" s="426" t="str">
        <f>MEMÓRIA!C6</f>
        <v>IFRN - CAMPUS NOVA CRUZ/RN.</v>
      </c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</row>
    <row r="7" spans="1:16" ht="5.0999999999999996" customHeight="1" x14ac:dyDescent="0.2">
      <c r="A7" s="478"/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</row>
    <row r="8" spans="1:16" ht="15" customHeight="1" x14ac:dyDescent="0.2">
      <c r="A8" s="427" t="str">
        <f>MEMÓRIA!A8</f>
        <v>ÁREA CONSTRUÍDA:</v>
      </c>
      <c r="B8" s="423"/>
      <c r="C8" s="426" t="str">
        <f>MEMÓRIA!C8</f>
        <v>1.770,48 m²</v>
      </c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332"/>
    </row>
    <row r="9" spans="1:16" ht="21.75" customHeight="1" x14ac:dyDescent="0.2">
      <c r="A9" s="424"/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332"/>
    </row>
    <row r="10" spans="1:16" ht="19.5" customHeight="1" x14ac:dyDescent="0.2">
      <c r="A10" s="431" t="s">
        <v>27</v>
      </c>
      <c r="B10" s="431"/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332"/>
    </row>
    <row r="11" spans="1:16" ht="27" customHeight="1" x14ac:dyDescent="0.2">
      <c r="A11" s="477"/>
      <c r="B11" s="477"/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332"/>
    </row>
    <row r="12" spans="1:16" ht="15" customHeight="1" x14ac:dyDescent="0.2">
      <c r="A12" s="15" t="s">
        <v>8</v>
      </c>
      <c r="B12" s="479" t="s">
        <v>9</v>
      </c>
      <c r="C12" s="479"/>
      <c r="D12" s="15" t="s">
        <v>28</v>
      </c>
      <c r="E12" s="15" t="s">
        <v>10</v>
      </c>
      <c r="F12" s="15" t="s">
        <v>11</v>
      </c>
      <c r="G12" s="15" t="s">
        <v>12</v>
      </c>
      <c r="H12" s="15" t="s">
        <v>13</v>
      </c>
      <c r="I12" s="15" t="s">
        <v>136</v>
      </c>
      <c r="J12" s="15" t="s">
        <v>275</v>
      </c>
      <c r="K12" s="15" t="s">
        <v>478</v>
      </c>
      <c r="L12" s="15" t="s">
        <v>479</v>
      </c>
      <c r="M12" s="15" t="s">
        <v>480</v>
      </c>
      <c r="N12" s="15" t="s">
        <v>481</v>
      </c>
      <c r="O12" s="15" t="s">
        <v>482</v>
      </c>
      <c r="P12" s="332"/>
    </row>
    <row r="13" spans="1:16" ht="12" customHeight="1" x14ac:dyDescent="0.2">
      <c r="A13" s="476"/>
      <c r="B13" s="476"/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332"/>
    </row>
    <row r="14" spans="1:16" ht="12" customHeight="1" x14ac:dyDescent="0.2">
      <c r="A14" s="450" t="str">
        <f>'SINAPI + BDI'!A15</f>
        <v>1.0</v>
      </c>
      <c r="B14" s="468" t="str">
        <f>'SINAPI + BDI'!C15</f>
        <v>SERVIÇOS PRELIMINARES/TÉCNICOS</v>
      </c>
      <c r="C14" s="469"/>
      <c r="D14" s="453">
        <f>'SINAPI + BDI'!I15</f>
        <v>31819.279999999999</v>
      </c>
      <c r="E14" s="456">
        <f>(D14/$D$45)</f>
        <v>7.8027963245653378E-2</v>
      </c>
      <c r="F14" s="333">
        <f>D14*F15</f>
        <v>16816.48948</v>
      </c>
      <c r="G14" s="333">
        <f>$D$14*G15</f>
        <v>2500.9954080000002</v>
      </c>
      <c r="H14" s="333">
        <f t="shared" ref="H14:L14" si="0">$D$14*H15</f>
        <v>2500.9954080000002</v>
      </c>
      <c r="I14" s="333">
        <f t="shared" si="0"/>
        <v>2500.9954080000002</v>
      </c>
      <c r="J14" s="333">
        <f t="shared" si="0"/>
        <v>2500.9954080000002</v>
      </c>
      <c r="K14" s="333">
        <f t="shared" si="0"/>
        <v>2500.9954080000002</v>
      </c>
      <c r="L14" s="333">
        <f t="shared" si="0"/>
        <v>2497.8134799999998</v>
      </c>
      <c r="M14" s="488"/>
      <c r="N14" s="489"/>
      <c r="O14" s="489"/>
      <c r="P14" s="332"/>
    </row>
    <row r="15" spans="1:16" ht="12" customHeight="1" x14ac:dyDescent="0.2">
      <c r="A15" s="451"/>
      <c r="B15" s="470"/>
      <c r="C15" s="471"/>
      <c r="D15" s="454"/>
      <c r="E15" s="457"/>
      <c r="F15" s="334">
        <v>0.52849999999999997</v>
      </c>
      <c r="G15" s="334">
        <v>7.8600000000000003E-2</v>
      </c>
      <c r="H15" s="334">
        <v>7.8600000000000003E-2</v>
      </c>
      <c r="I15" s="334">
        <v>7.8600000000000003E-2</v>
      </c>
      <c r="J15" s="334">
        <v>7.8600000000000003E-2</v>
      </c>
      <c r="K15" s="334">
        <v>7.8600000000000003E-2</v>
      </c>
      <c r="L15" s="334">
        <v>7.85E-2</v>
      </c>
      <c r="M15" s="490"/>
      <c r="N15" s="491"/>
      <c r="O15" s="491"/>
      <c r="P15" s="332"/>
    </row>
    <row r="16" spans="1:16" ht="3" customHeight="1" x14ac:dyDescent="0.2">
      <c r="A16" s="452"/>
      <c r="B16" s="472"/>
      <c r="C16" s="473"/>
      <c r="D16" s="455"/>
      <c r="E16" s="458"/>
      <c r="F16" s="335"/>
      <c r="G16" s="335"/>
      <c r="H16" s="335"/>
      <c r="I16" s="335"/>
      <c r="J16" s="335"/>
      <c r="K16" s="335"/>
      <c r="L16" s="335"/>
      <c r="M16" s="490"/>
      <c r="N16" s="491"/>
      <c r="O16" s="491"/>
      <c r="P16" s="332"/>
    </row>
    <row r="17" spans="1:16" ht="12" customHeight="1" x14ac:dyDescent="0.2">
      <c r="A17" s="450" t="str">
        <f>'SINAPI + BDI'!A26</f>
        <v>2.0</v>
      </c>
      <c r="B17" s="468" t="str">
        <f>'SINAPI + BDI'!C26</f>
        <v>INFRAESTRUTURA/FUNDAÇÕES SIMPLES</v>
      </c>
      <c r="C17" s="469"/>
      <c r="D17" s="453">
        <f>'SINAPI + BDI'!I26</f>
        <v>74205.36</v>
      </c>
      <c r="E17" s="456">
        <f>(D17/$D$45)</f>
        <v>0.1819680741585126</v>
      </c>
      <c r="F17" s="333">
        <f>D17*F18</f>
        <v>37102.68</v>
      </c>
      <c r="G17" s="333">
        <f>D17*G18</f>
        <v>37102.68</v>
      </c>
      <c r="H17" s="333"/>
      <c r="I17" s="333"/>
      <c r="J17" s="333"/>
      <c r="K17" s="333"/>
      <c r="L17" s="333"/>
      <c r="M17" s="490"/>
      <c r="N17" s="491"/>
      <c r="O17" s="491"/>
      <c r="P17" s="332"/>
    </row>
    <row r="18" spans="1:16" ht="12" customHeight="1" x14ac:dyDescent="0.2">
      <c r="A18" s="451"/>
      <c r="B18" s="470"/>
      <c r="C18" s="471"/>
      <c r="D18" s="454"/>
      <c r="E18" s="457"/>
      <c r="F18" s="334">
        <v>0.5</v>
      </c>
      <c r="G18" s="334">
        <v>0.5</v>
      </c>
      <c r="H18" s="334">
        <f t="shared" ref="H18:L18" si="1">H17/$D$14</f>
        <v>0</v>
      </c>
      <c r="I18" s="334">
        <f t="shared" si="1"/>
        <v>0</v>
      </c>
      <c r="J18" s="334">
        <f t="shared" si="1"/>
        <v>0</v>
      </c>
      <c r="K18" s="334">
        <f t="shared" si="1"/>
        <v>0</v>
      </c>
      <c r="L18" s="334">
        <f t="shared" si="1"/>
        <v>0</v>
      </c>
      <c r="M18" s="490"/>
      <c r="N18" s="491"/>
      <c r="O18" s="491"/>
      <c r="P18" s="332"/>
    </row>
    <row r="19" spans="1:16" ht="3" customHeight="1" x14ac:dyDescent="0.2">
      <c r="A19" s="452"/>
      <c r="B19" s="472"/>
      <c r="C19" s="473"/>
      <c r="D19" s="455"/>
      <c r="E19" s="458"/>
      <c r="F19" s="335"/>
      <c r="G19" s="335"/>
      <c r="H19" s="336"/>
      <c r="I19" s="336"/>
      <c r="J19" s="336"/>
      <c r="K19" s="336"/>
      <c r="L19" s="336"/>
      <c r="M19" s="490"/>
      <c r="N19" s="491"/>
      <c r="O19" s="491"/>
      <c r="P19" s="332"/>
    </row>
    <row r="20" spans="1:16" ht="12" customHeight="1" x14ac:dyDescent="0.2">
      <c r="A20" s="450" t="str">
        <f>'SINAPI + BDI'!A38</f>
        <v>3.0</v>
      </c>
      <c r="B20" s="468" t="str">
        <f>'SINAPI + BDI'!C38</f>
        <v>SUPERESTRUTURA</v>
      </c>
      <c r="C20" s="469"/>
      <c r="D20" s="453">
        <f>'SINAPI + BDI'!I38</f>
        <v>12412.852000000001</v>
      </c>
      <c r="E20" s="456">
        <f>(D20/$D$45)</f>
        <v>3.0439078433884582E-2</v>
      </c>
      <c r="F20" s="333"/>
      <c r="G20" s="333">
        <f>D20*G21</f>
        <v>8068.3538000000008</v>
      </c>
      <c r="H20" s="333">
        <f>D20*H21</f>
        <v>4344.4982</v>
      </c>
      <c r="I20" s="333"/>
      <c r="J20" s="333"/>
      <c r="K20" s="333"/>
      <c r="L20" s="333"/>
      <c r="M20" s="490"/>
      <c r="N20" s="491"/>
      <c r="O20" s="491"/>
      <c r="P20" s="332"/>
    </row>
    <row r="21" spans="1:16" ht="12" customHeight="1" x14ac:dyDescent="0.2">
      <c r="A21" s="451"/>
      <c r="B21" s="470"/>
      <c r="C21" s="471"/>
      <c r="D21" s="454"/>
      <c r="E21" s="457"/>
      <c r="F21" s="337"/>
      <c r="G21" s="334">
        <v>0.65</v>
      </c>
      <c r="H21" s="334">
        <v>0.35</v>
      </c>
      <c r="I21" s="334">
        <f t="shared" ref="I21:L21" si="2">I20/$D$14</f>
        <v>0</v>
      </c>
      <c r="J21" s="334">
        <f t="shared" si="2"/>
        <v>0</v>
      </c>
      <c r="K21" s="334">
        <f t="shared" si="2"/>
        <v>0</v>
      </c>
      <c r="L21" s="334">
        <f t="shared" si="2"/>
        <v>0</v>
      </c>
      <c r="M21" s="490"/>
      <c r="N21" s="491"/>
      <c r="O21" s="491"/>
      <c r="P21" s="332"/>
    </row>
    <row r="22" spans="1:16" ht="3" customHeight="1" x14ac:dyDescent="0.2">
      <c r="A22" s="452"/>
      <c r="B22" s="472"/>
      <c r="C22" s="473"/>
      <c r="D22" s="455"/>
      <c r="E22" s="458"/>
      <c r="F22" s="336"/>
      <c r="G22" s="335"/>
      <c r="H22" s="335"/>
      <c r="I22" s="336"/>
      <c r="J22" s="336"/>
      <c r="K22" s="336"/>
      <c r="L22" s="336"/>
      <c r="M22" s="490"/>
      <c r="N22" s="491"/>
      <c r="O22" s="491"/>
      <c r="P22" s="332"/>
    </row>
    <row r="23" spans="1:16" ht="12" customHeight="1" x14ac:dyDescent="0.2">
      <c r="A23" s="450" t="str">
        <f>'SINAPI + BDI'!A45</f>
        <v>4.0</v>
      </c>
      <c r="B23" s="468" t="str">
        <f>'SINAPI + BDI'!C45</f>
        <v>ALVENARIA DE VEDAÇÃO/DIVISÓRIA</v>
      </c>
      <c r="C23" s="469"/>
      <c r="D23" s="453">
        <f>'SINAPI + BDI'!I45</f>
        <v>7586.16</v>
      </c>
      <c r="E23" s="456">
        <f>(D23/$D$45)</f>
        <v>1.8602954361495477E-2</v>
      </c>
      <c r="F23" s="333"/>
      <c r="G23" s="333"/>
      <c r="H23" s="333">
        <f>D23*H24</f>
        <v>7586.16</v>
      </c>
      <c r="I23" s="333"/>
      <c r="J23" s="333"/>
      <c r="K23" s="333"/>
      <c r="L23" s="333"/>
      <c r="M23" s="490"/>
      <c r="N23" s="491"/>
      <c r="O23" s="491"/>
      <c r="P23" s="332"/>
    </row>
    <row r="24" spans="1:16" ht="12" customHeight="1" x14ac:dyDescent="0.2">
      <c r="A24" s="451"/>
      <c r="B24" s="470"/>
      <c r="C24" s="471"/>
      <c r="D24" s="454"/>
      <c r="E24" s="457"/>
      <c r="F24" s="337"/>
      <c r="G24" s="337"/>
      <c r="H24" s="334">
        <v>1</v>
      </c>
      <c r="I24" s="337"/>
      <c r="J24" s="337"/>
      <c r="K24" s="337"/>
      <c r="L24" s="334">
        <f t="shared" ref="L24" si="3">L23/$D$14</f>
        <v>0</v>
      </c>
      <c r="M24" s="490"/>
      <c r="N24" s="491"/>
      <c r="O24" s="491"/>
      <c r="P24" s="332"/>
    </row>
    <row r="25" spans="1:16" ht="3" customHeight="1" x14ac:dyDescent="0.2">
      <c r="A25" s="452"/>
      <c r="B25" s="472"/>
      <c r="C25" s="473"/>
      <c r="D25" s="455"/>
      <c r="E25" s="458"/>
      <c r="F25" s="336"/>
      <c r="G25" s="336"/>
      <c r="H25" s="335"/>
      <c r="I25" s="336"/>
      <c r="J25" s="336"/>
      <c r="K25" s="336"/>
      <c r="L25" s="336"/>
      <c r="M25" s="490"/>
      <c r="N25" s="491"/>
      <c r="O25" s="491"/>
      <c r="P25" s="332"/>
    </row>
    <row r="26" spans="1:16" ht="12" customHeight="1" x14ac:dyDescent="0.2">
      <c r="A26" s="450" t="str">
        <f>'SINAPI + BDI'!A48</f>
        <v>5.0</v>
      </c>
      <c r="B26" s="468" t="str">
        <f>'SINAPI + BDI'!C48</f>
        <v>IMPERMEABILIZAÇÃO DE SUPERFÍCIES</v>
      </c>
      <c r="C26" s="469"/>
      <c r="D26" s="453">
        <f>'SINAPI + BDI'!I48</f>
        <v>7428.48</v>
      </c>
      <c r="E26" s="456">
        <f>(D26/$D$45)</f>
        <v>1.8216287873612198E-2</v>
      </c>
      <c r="F26" s="333"/>
      <c r="G26" s="333"/>
      <c r="H26" s="333"/>
      <c r="I26" s="333">
        <f>$D$26*I27</f>
        <v>7428.48</v>
      </c>
      <c r="J26" s="333"/>
      <c r="K26" s="333"/>
      <c r="L26" s="333"/>
      <c r="M26" s="490"/>
      <c r="N26" s="491"/>
      <c r="O26" s="491"/>
      <c r="P26" s="332"/>
    </row>
    <row r="27" spans="1:16" ht="12" customHeight="1" x14ac:dyDescent="0.2">
      <c r="A27" s="451"/>
      <c r="B27" s="470"/>
      <c r="C27" s="471"/>
      <c r="D27" s="454"/>
      <c r="E27" s="457"/>
      <c r="F27" s="337"/>
      <c r="G27" s="337"/>
      <c r="H27" s="337"/>
      <c r="I27" s="334">
        <v>1</v>
      </c>
      <c r="J27" s="337"/>
      <c r="K27" s="337"/>
      <c r="L27" s="334">
        <f t="shared" ref="L27" si="4">L26/$D$14</f>
        <v>0</v>
      </c>
      <c r="M27" s="490"/>
      <c r="N27" s="491"/>
      <c r="O27" s="491"/>
      <c r="P27" s="332"/>
    </row>
    <row r="28" spans="1:16" ht="3" customHeight="1" x14ac:dyDescent="0.2">
      <c r="A28" s="452"/>
      <c r="B28" s="472"/>
      <c r="C28" s="473"/>
      <c r="D28" s="455"/>
      <c r="E28" s="458"/>
      <c r="F28" s="336"/>
      <c r="G28" s="336"/>
      <c r="H28" s="336"/>
      <c r="I28" s="335"/>
      <c r="J28" s="336"/>
      <c r="K28" s="336"/>
      <c r="L28" s="336"/>
      <c r="M28" s="490"/>
      <c r="N28" s="491"/>
      <c r="O28" s="491"/>
      <c r="P28" s="332"/>
    </row>
    <row r="29" spans="1:16" ht="12" customHeight="1" x14ac:dyDescent="0.2">
      <c r="A29" s="450" t="str">
        <f>'SINAPI + BDI'!A51</f>
        <v>6.0</v>
      </c>
      <c r="B29" s="468" t="str">
        <f>'SINAPI + BDI'!C51</f>
        <v>INSTALAÇÕES ELÉTRICAS</v>
      </c>
      <c r="C29" s="469"/>
      <c r="D29" s="453">
        <f>'SINAPI + BDI'!I51</f>
        <v>37580.869999999995</v>
      </c>
      <c r="E29" s="456">
        <f>(D29/$D$45)</f>
        <v>9.2156665490220932E-2</v>
      </c>
      <c r="F29" s="333"/>
      <c r="G29" s="333"/>
      <c r="H29" s="333"/>
      <c r="I29" s="333"/>
      <c r="J29" s="333">
        <f>$D$29*J30</f>
        <v>15032.347999999998</v>
      </c>
      <c r="K29" s="333">
        <f>$D$29*K30</f>
        <v>15032.347999999998</v>
      </c>
      <c r="L29" s="333">
        <f>$D$29*L30</f>
        <v>7516.1739999999991</v>
      </c>
      <c r="M29" s="490"/>
      <c r="N29" s="491"/>
      <c r="O29" s="491"/>
      <c r="P29" s="332"/>
    </row>
    <row r="30" spans="1:16" ht="12" customHeight="1" x14ac:dyDescent="0.2">
      <c r="A30" s="451"/>
      <c r="B30" s="470"/>
      <c r="C30" s="471"/>
      <c r="D30" s="454"/>
      <c r="E30" s="457"/>
      <c r="F30" s="334"/>
      <c r="G30" s="334"/>
      <c r="H30" s="337"/>
      <c r="I30" s="337"/>
      <c r="J30" s="334">
        <v>0.4</v>
      </c>
      <c r="K30" s="334">
        <v>0.4</v>
      </c>
      <c r="L30" s="334">
        <v>0.2</v>
      </c>
      <c r="M30" s="490"/>
      <c r="N30" s="491"/>
      <c r="O30" s="491"/>
      <c r="P30" s="332"/>
    </row>
    <row r="31" spans="1:16" ht="3" customHeight="1" x14ac:dyDescent="0.2">
      <c r="A31" s="452"/>
      <c r="B31" s="472"/>
      <c r="C31" s="473"/>
      <c r="D31" s="455"/>
      <c r="E31" s="458"/>
      <c r="F31" s="336"/>
      <c r="G31" s="336"/>
      <c r="H31" s="336"/>
      <c r="I31" s="336"/>
      <c r="J31" s="335"/>
      <c r="K31" s="335"/>
      <c r="L31" s="335"/>
      <c r="M31" s="490"/>
      <c r="N31" s="491"/>
      <c r="O31" s="491"/>
      <c r="P31" s="332"/>
    </row>
    <row r="32" spans="1:16" ht="12" customHeight="1" x14ac:dyDescent="0.2">
      <c r="A32" s="450" t="str">
        <f>'SINAPI + BDI'!A63</f>
        <v>7.0</v>
      </c>
      <c r="B32" s="468" t="str">
        <f>'SINAPI + BDI'!C63</f>
        <v>REVESTIMENTOS</v>
      </c>
      <c r="C32" s="469"/>
      <c r="D32" s="453">
        <f>'SINAPI + BDI'!I63</f>
        <v>72968.100000000006</v>
      </c>
      <c r="E32" s="456">
        <f>(D32/$D$45)</f>
        <v>0.17893403700225652</v>
      </c>
      <c r="F32" s="333"/>
      <c r="G32" s="333"/>
      <c r="H32" s="333">
        <f>$D$32*H33</f>
        <v>36484.050000000003</v>
      </c>
      <c r="I32" s="333">
        <f t="shared" ref="I32" si="5">$D$32*I33</f>
        <v>36484.050000000003</v>
      </c>
      <c r="J32" s="333"/>
      <c r="K32" s="333"/>
      <c r="L32" s="333"/>
      <c r="M32" s="490"/>
      <c r="N32" s="491"/>
      <c r="O32" s="491"/>
      <c r="P32" s="332"/>
    </row>
    <row r="33" spans="1:16" ht="12" customHeight="1" x14ac:dyDescent="0.2">
      <c r="A33" s="451"/>
      <c r="B33" s="470"/>
      <c r="C33" s="471"/>
      <c r="D33" s="454"/>
      <c r="E33" s="457"/>
      <c r="F33" s="334"/>
      <c r="G33" s="334"/>
      <c r="H33" s="334">
        <v>0.5</v>
      </c>
      <c r="I33" s="334">
        <v>0.5</v>
      </c>
      <c r="J33" s="337"/>
      <c r="K33" s="337"/>
      <c r="L33" s="337"/>
      <c r="M33" s="490"/>
      <c r="N33" s="491"/>
      <c r="O33" s="491"/>
      <c r="P33" s="332"/>
    </row>
    <row r="34" spans="1:16" ht="3" customHeight="1" x14ac:dyDescent="0.2">
      <c r="A34" s="452"/>
      <c r="B34" s="472"/>
      <c r="C34" s="473"/>
      <c r="D34" s="455"/>
      <c r="E34" s="458"/>
      <c r="F34" s="336"/>
      <c r="G34" s="336"/>
      <c r="H34" s="335"/>
      <c r="I34" s="335"/>
      <c r="J34" s="336"/>
      <c r="K34" s="336"/>
      <c r="L34" s="336"/>
      <c r="M34" s="490"/>
      <c r="N34" s="491"/>
      <c r="O34" s="491"/>
      <c r="P34" s="332"/>
    </row>
    <row r="35" spans="1:16" ht="12" customHeight="1" x14ac:dyDescent="0.2">
      <c r="A35" s="450" t="str">
        <f>'SINAPI + BDI'!A68</f>
        <v>8.0</v>
      </c>
      <c r="B35" s="462" t="str">
        <f>'SINAPI + BDI'!C68</f>
        <v>PINTURA</v>
      </c>
      <c r="C35" s="463"/>
      <c r="D35" s="459">
        <f>'SINAPI + BDI'!I68</f>
        <v>8703.42</v>
      </c>
      <c r="E35" s="456">
        <f>(D35/$D$45)</f>
        <v>2.1342724784202675E-2</v>
      </c>
      <c r="F35" s="333"/>
      <c r="G35" s="333"/>
      <c r="H35" s="333"/>
      <c r="I35" s="333"/>
      <c r="J35" s="333"/>
      <c r="K35" s="333">
        <f>$D$35*K36</f>
        <v>8703.42</v>
      </c>
      <c r="L35" s="333"/>
      <c r="M35" s="490"/>
      <c r="N35" s="491"/>
      <c r="O35" s="491"/>
      <c r="P35" s="332"/>
    </row>
    <row r="36" spans="1:16" ht="12" customHeight="1" x14ac:dyDescent="0.2">
      <c r="A36" s="451"/>
      <c r="B36" s="464"/>
      <c r="C36" s="465"/>
      <c r="D36" s="460"/>
      <c r="E36" s="457"/>
      <c r="F36" s="334"/>
      <c r="G36" s="334"/>
      <c r="H36" s="334"/>
      <c r="I36" s="334"/>
      <c r="J36" s="334"/>
      <c r="K36" s="334">
        <v>1</v>
      </c>
      <c r="L36" s="334"/>
      <c r="M36" s="490"/>
      <c r="N36" s="491"/>
      <c r="O36" s="491"/>
      <c r="P36" s="332"/>
    </row>
    <row r="37" spans="1:16" ht="3" customHeight="1" x14ac:dyDescent="0.2">
      <c r="A37" s="452"/>
      <c r="B37" s="466"/>
      <c r="C37" s="467"/>
      <c r="D37" s="461"/>
      <c r="E37" s="458"/>
      <c r="F37" s="336"/>
      <c r="G37" s="336"/>
      <c r="H37" s="336"/>
      <c r="I37" s="336"/>
      <c r="J37" s="336"/>
      <c r="K37" s="335"/>
      <c r="L37" s="336"/>
      <c r="M37" s="490"/>
      <c r="N37" s="491"/>
      <c r="O37" s="491"/>
      <c r="P37" s="332"/>
    </row>
    <row r="38" spans="1:16" ht="12" customHeight="1" x14ac:dyDescent="0.2">
      <c r="A38" s="450" t="str">
        <f>'SINAPI + BDI'!A75</f>
        <v>9.0</v>
      </c>
      <c r="B38" s="462" t="str">
        <f>'SINAPI + BDI'!C75</f>
        <v>PAVIMENTAÇÃO</v>
      </c>
      <c r="C38" s="463"/>
      <c r="D38" s="459">
        <f>'SINAPI + BDI'!I75</f>
        <v>46099.68</v>
      </c>
      <c r="E38" s="456">
        <f>(D38/$D$45)</f>
        <v>0.1130466854270864</v>
      </c>
      <c r="F38" s="333"/>
      <c r="G38" s="333"/>
      <c r="H38" s="333"/>
      <c r="I38" s="333"/>
      <c r="J38" s="333">
        <f>$D$38*J39</f>
        <v>9219.9359999999997</v>
      </c>
      <c r="K38" s="333">
        <f t="shared" ref="K38:L38" si="6">$D$38*K39</f>
        <v>9219.9359999999997</v>
      </c>
      <c r="L38" s="333">
        <f t="shared" si="6"/>
        <v>27659.808000000001</v>
      </c>
      <c r="M38" s="490"/>
      <c r="N38" s="491"/>
      <c r="O38" s="491"/>
      <c r="P38" s="332"/>
    </row>
    <row r="39" spans="1:16" ht="12" customHeight="1" x14ac:dyDescent="0.2">
      <c r="A39" s="451"/>
      <c r="B39" s="464"/>
      <c r="C39" s="465"/>
      <c r="D39" s="460"/>
      <c r="E39" s="457"/>
      <c r="F39" s="334"/>
      <c r="G39" s="334"/>
      <c r="H39" s="334">
        <f t="shared" ref="H39:I39" si="7">H38/$D$14</f>
        <v>0</v>
      </c>
      <c r="I39" s="334">
        <f t="shared" si="7"/>
        <v>0</v>
      </c>
      <c r="J39" s="334">
        <v>0.2</v>
      </c>
      <c r="K39" s="334">
        <v>0.2</v>
      </c>
      <c r="L39" s="334">
        <v>0.6</v>
      </c>
      <c r="M39" s="490"/>
      <c r="N39" s="491"/>
      <c r="O39" s="491"/>
      <c r="P39" s="332"/>
    </row>
    <row r="40" spans="1:16" ht="3" customHeight="1" x14ac:dyDescent="0.2">
      <c r="A40" s="452"/>
      <c r="B40" s="466"/>
      <c r="C40" s="467"/>
      <c r="D40" s="461"/>
      <c r="E40" s="458"/>
      <c r="F40" s="336"/>
      <c r="G40" s="336"/>
      <c r="H40" s="336"/>
      <c r="I40" s="336"/>
      <c r="J40" s="335"/>
      <c r="K40" s="335"/>
      <c r="L40" s="335"/>
      <c r="M40" s="490"/>
      <c r="N40" s="491"/>
      <c r="O40" s="491"/>
      <c r="P40" s="332"/>
    </row>
    <row r="41" spans="1:16" ht="12" customHeight="1" x14ac:dyDescent="0.2">
      <c r="A41" s="450" t="str">
        <f>'SINAPI + BDI'!A79</f>
        <v>10.0</v>
      </c>
      <c r="B41" s="462" t="str">
        <f>'SINAPI + BDI'!C79</f>
        <v>SERVIÇOS COMPLEMENTARES</v>
      </c>
      <c r="C41" s="463"/>
      <c r="D41" s="459">
        <f>'SINAPI + BDI'!I79</f>
        <v>108989.09000000001</v>
      </c>
      <c r="E41" s="456">
        <f>(D41/$D$45)</f>
        <v>0.26726552922307506</v>
      </c>
      <c r="F41" s="333"/>
      <c r="G41" s="333"/>
      <c r="H41" s="333"/>
      <c r="I41" s="333"/>
      <c r="J41" s="333">
        <f>$D$41*J42</f>
        <v>38146.181499999999</v>
      </c>
      <c r="K41" s="333">
        <f>$D$41*K42</f>
        <v>38146.181499999999</v>
      </c>
      <c r="L41" s="333">
        <f>$D$41*L42</f>
        <v>32696.727000000003</v>
      </c>
      <c r="M41" s="490"/>
      <c r="N41" s="491"/>
      <c r="O41" s="491"/>
      <c r="P41" s="332"/>
    </row>
    <row r="42" spans="1:16" ht="12" customHeight="1" x14ac:dyDescent="0.2">
      <c r="A42" s="451"/>
      <c r="B42" s="464"/>
      <c r="C42" s="465"/>
      <c r="D42" s="460"/>
      <c r="E42" s="457"/>
      <c r="F42" s="334"/>
      <c r="G42" s="334"/>
      <c r="H42" s="334"/>
      <c r="I42" s="334"/>
      <c r="J42" s="334">
        <v>0.35</v>
      </c>
      <c r="K42" s="334">
        <v>0.35</v>
      </c>
      <c r="L42" s="334">
        <v>0.3</v>
      </c>
      <c r="M42" s="490"/>
      <c r="N42" s="491"/>
      <c r="O42" s="491"/>
      <c r="P42" s="332"/>
    </row>
    <row r="43" spans="1:16" ht="3" customHeight="1" x14ac:dyDescent="0.2">
      <c r="A43" s="452"/>
      <c r="B43" s="466"/>
      <c r="C43" s="467"/>
      <c r="D43" s="461"/>
      <c r="E43" s="458"/>
      <c r="F43" s="336"/>
      <c r="G43" s="336"/>
      <c r="H43" s="336"/>
      <c r="I43" s="336"/>
      <c r="J43" s="335"/>
      <c r="K43" s="335"/>
      <c r="L43" s="335"/>
      <c r="M43" s="492"/>
      <c r="N43" s="493"/>
      <c r="O43" s="493"/>
      <c r="P43" s="332"/>
    </row>
    <row r="44" spans="1:16" ht="9" customHeight="1" x14ac:dyDescent="0.2">
      <c r="A44" s="422"/>
      <c r="B44" s="422"/>
      <c r="C44" s="422"/>
      <c r="D44" s="422"/>
      <c r="E44" s="422"/>
      <c r="F44" s="422"/>
      <c r="G44" s="422"/>
      <c r="H44" s="422"/>
      <c r="I44" s="422"/>
      <c r="J44" s="422"/>
      <c r="K44" s="422"/>
      <c r="L44" s="422"/>
      <c r="M44" s="338"/>
      <c r="P44" s="332"/>
    </row>
    <row r="45" spans="1:16" ht="15.75" customHeight="1" x14ac:dyDescent="0.2">
      <c r="A45" s="474" t="s">
        <v>16</v>
      </c>
      <c r="B45" s="474"/>
      <c r="C45" s="475"/>
      <c r="D45" s="339">
        <f>SUM(D14:D43)</f>
        <v>407793.29200000007</v>
      </c>
      <c r="E45" s="340">
        <f>SUM(E14:E43)</f>
        <v>0.99999999999999978</v>
      </c>
      <c r="F45" s="341">
        <f>SUM(F14)+F17+F20+F23+F26+F29+F32+F35+F38+F41</f>
        <v>53919.169479999997</v>
      </c>
      <c r="G45" s="341">
        <f t="shared" ref="G45:L45" si="8">SUM(G14)+G17+G20+G23+G26+G29+G32+G35+G38+G41</f>
        <v>47672.029208000007</v>
      </c>
      <c r="H45" s="341">
        <f t="shared" si="8"/>
        <v>50915.703608000003</v>
      </c>
      <c r="I45" s="341">
        <f t="shared" si="8"/>
        <v>46413.525408000001</v>
      </c>
      <c r="J45" s="341">
        <f t="shared" si="8"/>
        <v>64899.460907999994</v>
      </c>
      <c r="K45" s="341">
        <f t="shared" si="8"/>
        <v>73602.880907999992</v>
      </c>
      <c r="L45" s="341">
        <f t="shared" si="8"/>
        <v>70370.52248</v>
      </c>
      <c r="M45" s="480"/>
      <c r="N45" s="481"/>
      <c r="O45" s="481"/>
      <c r="P45" s="332"/>
    </row>
    <row r="46" spans="1:16" ht="14.25" customHeight="1" x14ac:dyDescent="0.2">
      <c r="A46" s="474" t="s">
        <v>14</v>
      </c>
      <c r="B46" s="474"/>
      <c r="C46" s="474"/>
      <c r="D46" s="474"/>
      <c r="E46" s="475"/>
      <c r="F46" s="341">
        <f>SUM(F45)</f>
        <v>53919.169479999997</v>
      </c>
      <c r="G46" s="341">
        <f>F46+G45</f>
        <v>101591.198688</v>
      </c>
      <c r="H46" s="341">
        <f t="shared" ref="H46:L46" si="9">G46+H45</f>
        <v>152506.90229600001</v>
      </c>
      <c r="I46" s="341">
        <f t="shared" si="9"/>
        <v>198920.42770400003</v>
      </c>
      <c r="J46" s="341">
        <f t="shared" si="9"/>
        <v>263819.88861200004</v>
      </c>
      <c r="K46" s="341">
        <f t="shared" si="9"/>
        <v>337422.76952000003</v>
      </c>
      <c r="L46" s="341">
        <f t="shared" si="9"/>
        <v>407793.29200000002</v>
      </c>
      <c r="M46" s="482"/>
      <c r="N46" s="483"/>
      <c r="O46" s="483"/>
      <c r="P46" s="332"/>
    </row>
    <row r="47" spans="1:16" ht="9" customHeight="1" x14ac:dyDescent="0.2">
      <c r="A47" s="422"/>
      <c r="B47" s="422"/>
      <c r="C47" s="422"/>
      <c r="D47" s="422"/>
      <c r="E47" s="422"/>
      <c r="F47" s="422"/>
      <c r="G47" s="422"/>
      <c r="H47" s="422"/>
      <c r="I47" s="422"/>
      <c r="J47" s="422"/>
      <c r="K47" s="422"/>
      <c r="L47" s="422"/>
      <c r="M47" s="338"/>
      <c r="P47" s="332"/>
    </row>
    <row r="48" spans="1:16" ht="15" customHeight="1" x14ac:dyDescent="0.2">
      <c r="A48" s="474" t="s">
        <v>29</v>
      </c>
      <c r="B48" s="474"/>
      <c r="C48" s="474"/>
      <c r="D48" s="474"/>
      <c r="E48" s="475"/>
      <c r="F48" s="342">
        <f t="shared" ref="F48:K48" si="10">F45/$D$45</f>
        <v>0.1322218156545841</v>
      </c>
      <c r="G48" s="342">
        <f t="shared" si="10"/>
        <v>0.11690243597238965</v>
      </c>
      <c r="H48" s="342">
        <f t="shared" si="10"/>
        <v>0.12485664822559168</v>
      </c>
      <c r="I48" s="342">
        <f t="shared" si="10"/>
        <v>0.11381630428584881</v>
      </c>
      <c r="J48" s="342">
        <f t="shared" si="10"/>
        <v>0.15914793642069028</v>
      </c>
      <c r="K48" s="342">
        <f t="shared" si="10"/>
        <v>0.18049066120489293</v>
      </c>
      <c r="L48" s="342">
        <f t="shared" ref="L48" si="11">L45/$D$45</f>
        <v>0.17256419823600233</v>
      </c>
      <c r="M48" s="484"/>
      <c r="N48" s="485"/>
      <c r="O48" s="485"/>
      <c r="P48" s="332"/>
    </row>
    <row r="49" spans="1:16" ht="15.75" customHeight="1" x14ac:dyDescent="0.2">
      <c r="A49" s="474" t="s">
        <v>30</v>
      </c>
      <c r="B49" s="474"/>
      <c r="C49" s="474"/>
      <c r="D49" s="474"/>
      <c r="E49" s="475"/>
      <c r="F49" s="342">
        <f>F48</f>
        <v>0.1322218156545841</v>
      </c>
      <c r="G49" s="342">
        <f>F49+G48</f>
        <v>0.24912425162697377</v>
      </c>
      <c r="H49" s="342">
        <f t="shared" ref="H49:K49" si="12">G49+H48</f>
        <v>0.37398089985256544</v>
      </c>
      <c r="I49" s="342">
        <f t="shared" si="12"/>
        <v>0.48779720413841426</v>
      </c>
      <c r="J49" s="342">
        <f t="shared" si="12"/>
        <v>0.64694514055910457</v>
      </c>
      <c r="K49" s="342">
        <f t="shared" si="12"/>
        <v>0.82743580176399756</v>
      </c>
      <c r="L49" s="342">
        <f t="shared" ref="L49" si="13">K49+L48</f>
        <v>0.99999999999999989</v>
      </c>
      <c r="M49" s="486"/>
      <c r="N49" s="487"/>
      <c r="O49" s="487"/>
      <c r="P49" s="332"/>
    </row>
    <row r="50" spans="1:16" x14ac:dyDescent="0.2">
      <c r="P50" s="332"/>
    </row>
    <row r="51" spans="1:16" s="6" customFormat="1" ht="16.5" customHeight="1" x14ac:dyDescent="0.2">
      <c r="A51" s="428" t="str">
        <f>'SINAPI + BDI'!A93:I93</f>
        <v>Nova Cruz/RN, 03 de setembro de 2024.</v>
      </c>
      <c r="B51" s="428"/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159"/>
    </row>
  </sheetData>
  <mergeCells count="67">
    <mergeCell ref="A51:O51"/>
    <mergeCell ref="A47:L47"/>
    <mergeCell ref="M45:O46"/>
    <mergeCell ref="M48:O49"/>
    <mergeCell ref="M14:O43"/>
    <mergeCell ref="A17:A19"/>
    <mergeCell ref="D17:D19"/>
    <mergeCell ref="E17:E19"/>
    <mergeCell ref="A14:A16"/>
    <mergeCell ref="D14:D16"/>
    <mergeCell ref="E14:E16"/>
    <mergeCell ref="B17:C19"/>
    <mergeCell ref="B14:C16"/>
    <mergeCell ref="A20:A22"/>
    <mergeCell ref="D20:D22"/>
    <mergeCell ref="E20:E22"/>
    <mergeCell ref="A9:O9"/>
    <mergeCell ref="A10:O10"/>
    <mergeCell ref="A13:O13"/>
    <mergeCell ref="A11:O11"/>
    <mergeCell ref="C4:O4"/>
    <mergeCell ref="C6:O6"/>
    <mergeCell ref="A5:O5"/>
    <mergeCell ref="B12:C12"/>
    <mergeCell ref="A7:O7"/>
    <mergeCell ref="C8:O8"/>
    <mergeCell ref="A8:B8"/>
    <mergeCell ref="A6:B6"/>
    <mergeCell ref="A4:B4"/>
    <mergeCell ref="A23:A25"/>
    <mergeCell ref="D23:D25"/>
    <mergeCell ref="E23:E25"/>
    <mergeCell ref="B23:C25"/>
    <mergeCell ref="B20:C22"/>
    <mergeCell ref="A29:A31"/>
    <mergeCell ref="D29:D31"/>
    <mergeCell ref="E29:E31"/>
    <mergeCell ref="B26:C28"/>
    <mergeCell ref="B29:C31"/>
    <mergeCell ref="A45:C45"/>
    <mergeCell ref="A46:E46"/>
    <mergeCell ref="A48:E48"/>
    <mergeCell ref="A49:E49"/>
    <mergeCell ref="A38:A40"/>
    <mergeCell ref="D38:D40"/>
    <mergeCell ref="E38:E40"/>
    <mergeCell ref="A41:A43"/>
    <mergeCell ref="D41:D43"/>
    <mergeCell ref="E41:E43"/>
    <mergeCell ref="B41:C43"/>
    <mergeCell ref="B38:C40"/>
    <mergeCell ref="A1:A2"/>
    <mergeCell ref="A3:O3"/>
    <mergeCell ref="B1:O1"/>
    <mergeCell ref="B2:O2"/>
    <mergeCell ref="A44:L44"/>
    <mergeCell ref="A32:A34"/>
    <mergeCell ref="D32:D34"/>
    <mergeCell ref="E32:E34"/>
    <mergeCell ref="A35:A37"/>
    <mergeCell ref="D35:D37"/>
    <mergeCell ref="E35:E37"/>
    <mergeCell ref="B35:C37"/>
    <mergeCell ref="B32:C34"/>
    <mergeCell ref="A26:A28"/>
    <mergeCell ref="D26:D28"/>
    <mergeCell ref="E26:E28"/>
  </mergeCells>
  <printOptions horizontalCentered="1"/>
  <pageMargins left="0.19685039370078741" right="0.19685039370078741" top="0.59055118110236227" bottom="0.59055118110236227" header="0" footer="0"/>
  <pageSetup paperSize="9" scale="75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0"/>
  <sheetViews>
    <sheetView workbookViewId="0">
      <pane ySplit="11" topLeftCell="A12" activePane="bottomLeft" state="frozen"/>
      <selection pane="bottomLeft" activeCell="C78" sqref="C78"/>
    </sheetView>
  </sheetViews>
  <sheetFormatPr defaultRowHeight="12.75" x14ac:dyDescent="0.2"/>
  <cols>
    <col min="1" max="1" width="9.28515625" bestFit="1" customWidth="1"/>
    <col min="2" max="2" width="76.7109375" customWidth="1"/>
    <col min="3" max="3" width="7" bestFit="1" customWidth="1"/>
    <col min="4" max="4" width="12.28515625" customWidth="1"/>
    <col min="5" max="8" width="9.7109375" customWidth="1"/>
    <col min="9" max="12" width="14.7109375" customWidth="1"/>
  </cols>
  <sheetData>
    <row r="1" spans="1:22" s="90" customFormat="1" ht="20.25" x14ac:dyDescent="0.3">
      <c r="A1" s="502"/>
      <c r="B1" s="504" t="s">
        <v>19</v>
      </c>
      <c r="C1" s="504"/>
      <c r="D1" s="504"/>
      <c r="E1" s="504"/>
      <c r="F1" s="504"/>
      <c r="G1" s="504"/>
      <c r="H1" s="505"/>
      <c r="I1" s="506" t="s">
        <v>230</v>
      </c>
      <c r="J1" s="507"/>
      <c r="K1" s="507"/>
      <c r="L1" s="508"/>
      <c r="M1" s="88"/>
      <c r="N1" s="88"/>
      <c r="O1" s="88"/>
      <c r="P1" s="88"/>
      <c r="Q1" s="89"/>
      <c r="R1" s="88"/>
      <c r="S1" s="88"/>
      <c r="T1" s="88"/>
      <c r="U1" s="88"/>
      <c r="V1" s="88"/>
    </row>
    <row r="2" spans="1:22" s="90" customFormat="1" ht="20.25" x14ac:dyDescent="0.3">
      <c r="A2" s="503"/>
      <c r="B2" s="515" t="s">
        <v>24</v>
      </c>
      <c r="C2" s="515"/>
      <c r="D2" s="515"/>
      <c r="E2" s="515"/>
      <c r="F2" s="515"/>
      <c r="G2" s="515"/>
      <c r="H2" s="516"/>
      <c r="I2" s="509"/>
      <c r="J2" s="510"/>
      <c r="K2" s="510"/>
      <c r="L2" s="511"/>
      <c r="M2" s="88"/>
      <c r="N2" s="88"/>
      <c r="O2" s="88"/>
      <c r="P2" s="88"/>
      <c r="Q2" s="89"/>
      <c r="R2" s="88"/>
      <c r="S2" s="88"/>
      <c r="T2" s="88"/>
      <c r="U2" s="88"/>
      <c r="V2" s="88"/>
    </row>
    <row r="3" spans="1:22" s="90" customFormat="1" ht="20.25" x14ac:dyDescent="0.3">
      <c r="A3" s="517" t="str">
        <f>A5</f>
        <v>BOLETIM DE MEDIÇÃO DE SERVIÇOS - Nº 01</v>
      </c>
      <c r="B3" s="518"/>
      <c r="C3" s="518"/>
      <c r="D3" s="518"/>
      <c r="E3" s="518"/>
      <c r="F3" s="518"/>
      <c r="G3" s="518"/>
      <c r="H3" s="519"/>
      <c r="I3" s="512"/>
      <c r="J3" s="513"/>
      <c r="K3" s="513"/>
      <c r="L3" s="514"/>
      <c r="M3" s="88"/>
      <c r="N3" s="88"/>
      <c r="O3" s="88"/>
      <c r="P3" s="88"/>
      <c r="Q3" s="89"/>
      <c r="R3" s="88"/>
      <c r="S3" s="88"/>
      <c r="T3" s="88"/>
      <c r="U3" s="88"/>
      <c r="V3" s="88"/>
    </row>
    <row r="4" spans="1:22" s="90" customFormat="1" ht="15" customHeight="1" x14ac:dyDescent="0.3">
      <c r="A4" s="520"/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2"/>
      <c r="M4" s="91"/>
      <c r="N4" s="91"/>
      <c r="O4" s="91"/>
      <c r="P4" s="92"/>
      <c r="Q4" s="89"/>
      <c r="R4" s="91"/>
      <c r="S4" s="93"/>
      <c r="T4" s="91"/>
      <c r="U4" s="91"/>
      <c r="V4" s="92"/>
    </row>
    <row r="5" spans="1:22" s="90" customFormat="1" x14ac:dyDescent="0.2">
      <c r="A5" s="523" t="s">
        <v>231</v>
      </c>
      <c r="B5" s="524"/>
      <c r="C5" s="525" t="s">
        <v>232</v>
      </c>
      <c r="D5" s="526"/>
      <c r="E5" s="526"/>
      <c r="F5" s="527" t="s">
        <v>276</v>
      </c>
      <c r="G5" s="527"/>
      <c r="H5" s="528"/>
      <c r="I5" s="529" t="s">
        <v>233</v>
      </c>
      <c r="J5" s="529"/>
      <c r="K5" s="530" t="e">
        <f>I70</f>
        <v>#REF!</v>
      </c>
      <c r="L5" s="531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s="90" customFormat="1" ht="12.95" customHeight="1" x14ac:dyDescent="0.2">
      <c r="A6" s="94" t="s">
        <v>234</v>
      </c>
      <c r="B6" s="151" t="str">
        <f>'SINAPI + BDI'!C4</f>
        <v>CONSTRUÇÃO DE UMA ARENA DE BEACH SOCCER.</v>
      </c>
      <c r="C6" s="494" t="s">
        <v>35</v>
      </c>
      <c r="D6" s="495"/>
      <c r="E6" s="495"/>
      <c r="F6" s="496">
        <v>45392</v>
      </c>
      <c r="G6" s="496"/>
      <c r="H6" s="497"/>
      <c r="I6" s="498" t="s">
        <v>235</v>
      </c>
      <c r="J6" s="499"/>
      <c r="K6" s="500" t="e">
        <f>J70</f>
        <v>#REF!</v>
      </c>
      <c r="L6" s="501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22" s="90" customFormat="1" ht="12.95" customHeight="1" x14ac:dyDescent="0.2">
      <c r="A7" s="94" t="s">
        <v>236</v>
      </c>
      <c r="B7" s="95" t="s">
        <v>237</v>
      </c>
      <c r="C7" s="494" t="s">
        <v>238</v>
      </c>
      <c r="D7" s="495"/>
      <c r="E7" s="495"/>
      <c r="F7" s="532">
        <v>276</v>
      </c>
      <c r="G7" s="532"/>
      <c r="H7" s="533"/>
      <c r="I7" s="498" t="s">
        <v>239</v>
      </c>
      <c r="J7" s="499"/>
      <c r="K7" s="500" t="e">
        <f>K70</f>
        <v>#REF!</v>
      </c>
      <c r="L7" s="501"/>
      <c r="M7" s="89"/>
      <c r="N7" s="89"/>
      <c r="O7" s="89"/>
      <c r="P7" s="89"/>
      <c r="Q7" s="89"/>
      <c r="R7" s="89"/>
      <c r="S7" s="89"/>
      <c r="T7" s="89"/>
      <c r="U7" s="89"/>
      <c r="V7" s="89"/>
    </row>
    <row r="8" spans="1:22" s="90" customFormat="1" ht="12.95" customHeight="1" x14ac:dyDescent="0.2">
      <c r="A8" s="96" t="s">
        <v>240</v>
      </c>
      <c r="B8" s="95" t="s">
        <v>274</v>
      </c>
      <c r="C8" s="534" t="s">
        <v>241</v>
      </c>
      <c r="D8" s="535"/>
      <c r="E8" s="535"/>
      <c r="F8" s="536" t="s">
        <v>273</v>
      </c>
      <c r="G8" s="536"/>
      <c r="H8" s="537"/>
      <c r="I8" s="498" t="s">
        <v>242</v>
      </c>
      <c r="J8" s="499"/>
      <c r="K8" s="500" t="e">
        <f>L70</f>
        <v>#REF!</v>
      </c>
      <c r="L8" s="501"/>
      <c r="M8" s="89"/>
      <c r="N8" s="89"/>
      <c r="O8" s="89"/>
      <c r="P8" s="89"/>
      <c r="Q8" s="89"/>
      <c r="R8" s="89"/>
      <c r="S8" s="89"/>
      <c r="T8" s="89"/>
      <c r="U8" s="89"/>
      <c r="V8" s="89"/>
    </row>
    <row r="9" spans="1:22" s="90" customFormat="1" x14ac:dyDescent="0.2">
      <c r="A9" s="541"/>
      <c r="B9" s="542"/>
      <c r="C9" s="542"/>
      <c r="D9" s="542"/>
      <c r="E9" s="542"/>
      <c r="F9" s="542"/>
      <c r="G9" s="542"/>
      <c r="H9" s="542"/>
      <c r="I9" s="542"/>
      <c r="J9" s="542"/>
      <c r="K9" s="542"/>
      <c r="L9" s="543"/>
      <c r="M9" s="89"/>
      <c r="N9" s="89"/>
      <c r="O9" s="89"/>
      <c r="P9" s="89"/>
      <c r="Q9" s="89"/>
      <c r="R9" s="89"/>
      <c r="S9" s="89"/>
      <c r="T9" s="89"/>
      <c r="U9" s="89"/>
      <c r="V9" s="89"/>
    </row>
    <row r="10" spans="1:22" s="90" customFormat="1" x14ac:dyDescent="0.2">
      <c r="A10" s="544" t="s">
        <v>243</v>
      </c>
      <c r="B10" s="544" t="s">
        <v>244</v>
      </c>
      <c r="C10" s="546" t="s">
        <v>54</v>
      </c>
      <c r="D10" s="548" t="s">
        <v>245</v>
      </c>
      <c r="E10" s="550" t="s">
        <v>246</v>
      </c>
      <c r="F10" s="551"/>
      <c r="G10" s="551"/>
      <c r="H10" s="552"/>
      <c r="I10" s="550" t="s">
        <v>247</v>
      </c>
      <c r="J10" s="551"/>
      <c r="K10" s="551"/>
      <c r="L10" s="552"/>
      <c r="M10" s="89"/>
      <c r="N10" s="89"/>
      <c r="O10" s="89"/>
      <c r="P10" s="89"/>
      <c r="Q10" s="89"/>
      <c r="R10" s="89"/>
      <c r="S10" s="89"/>
      <c r="T10" s="89"/>
      <c r="U10" s="89"/>
      <c r="V10" s="89"/>
    </row>
    <row r="11" spans="1:22" s="90" customFormat="1" x14ac:dyDescent="0.2">
      <c r="A11" s="545"/>
      <c r="B11" s="545"/>
      <c r="C11" s="547"/>
      <c r="D11" s="549"/>
      <c r="E11" s="97" t="s">
        <v>248</v>
      </c>
      <c r="F11" s="98" t="s">
        <v>249</v>
      </c>
      <c r="G11" s="99" t="s">
        <v>250</v>
      </c>
      <c r="H11" s="100" t="s">
        <v>251</v>
      </c>
      <c r="I11" s="101" t="s">
        <v>248</v>
      </c>
      <c r="J11" s="98" t="s">
        <v>252</v>
      </c>
      <c r="K11" s="101" t="s">
        <v>253</v>
      </c>
      <c r="L11" s="98" t="s">
        <v>251</v>
      </c>
      <c r="M11" s="102"/>
      <c r="N11" s="102"/>
      <c r="O11" s="102"/>
      <c r="P11" s="102"/>
      <c r="Q11" s="102"/>
      <c r="R11" s="102"/>
      <c r="S11" s="102"/>
      <c r="T11" s="102"/>
      <c r="U11" s="102"/>
      <c r="V11" s="102"/>
    </row>
    <row r="12" spans="1:22" ht="12.95" customHeight="1" x14ac:dyDescent="0.2">
      <c r="A12" s="103" t="str">
        <f>'SINAPI + BDI'!A15</f>
        <v>1.0</v>
      </c>
      <c r="B12" s="104" t="str">
        <f>'SINAPI + BDI'!C15</f>
        <v>SERVIÇOS PRELIMINARES/TÉCNICOS</v>
      </c>
      <c r="C12" s="105"/>
      <c r="D12" s="106"/>
      <c r="E12" s="107"/>
      <c r="F12" s="108"/>
      <c r="G12" s="109"/>
      <c r="H12" s="109"/>
      <c r="I12" s="110" t="e">
        <f>SUM(I13:I21)</f>
        <v>#REF!</v>
      </c>
      <c r="J12" s="110" t="e">
        <f>SUM(J13:J21)</f>
        <v>#REF!</v>
      </c>
      <c r="K12" s="110" t="e">
        <f>SUM(K13:K21)</f>
        <v>#REF!</v>
      </c>
      <c r="L12" s="110" t="e">
        <f>SUM(L13:L21)</f>
        <v>#REF!</v>
      </c>
    </row>
    <row r="13" spans="1:22" ht="12.95" customHeight="1" x14ac:dyDescent="0.2">
      <c r="A13" s="111" t="str">
        <f>'SINAPI + BDI'!A16</f>
        <v>1.1</v>
      </c>
      <c r="B13" s="112" t="str">
        <f>'SINAPI + BDI'!C16</f>
        <v>ADMINISTRAÇÃO LOCAL DA OBRA, PARA CRONOGRAMA DE 7 MESES, EM CONFORMIDADE COM O ACÓRDÃO N°2.622/2013, ONDE A TAXA DE ADMINISTRAÇÃO LOCAL DA OBRA DEVE VARIAR ENTRE 3,49% E 8,87%.</v>
      </c>
      <c r="C13" s="113" t="str">
        <f>'SINAPI + BDI'!D16</f>
        <v>%</v>
      </c>
      <c r="D13" s="114">
        <f>'SINAPI + BDI'!G16</f>
        <v>17502.59</v>
      </c>
      <c r="E13" s="115">
        <f>'SINAPI + BDI'!E16</f>
        <v>1</v>
      </c>
      <c r="F13" s="116">
        <f>E13</f>
        <v>1</v>
      </c>
      <c r="G13" s="117">
        <f>F13</f>
        <v>1</v>
      </c>
      <c r="H13" s="117">
        <f t="shared" ref="H13:H14" si="0">E13-G13</f>
        <v>0</v>
      </c>
      <c r="I13" s="31">
        <f>TRUNC((D13*E13),2)</f>
        <v>17502.59</v>
      </c>
      <c r="J13" s="31">
        <f>TRUNC((D13*F13),2)</f>
        <v>17502.59</v>
      </c>
      <c r="K13" s="31">
        <f>TRUNC((D13*G13),2)</f>
        <v>17502.59</v>
      </c>
      <c r="L13" s="118">
        <f>TRUNC((D13*H13),2)</f>
        <v>0</v>
      </c>
    </row>
    <row r="14" spans="1:22" ht="12.95" customHeight="1" x14ac:dyDescent="0.2">
      <c r="A14" s="111" t="str">
        <f>'SINAPI + BDI'!A17</f>
        <v>1.2</v>
      </c>
      <c r="B14" s="112" t="str">
        <f>'SINAPI + BDI'!C17</f>
        <v>REGULARIZAÇÃO DE OBRA.</v>
      </c>
      <c r="C14" s="113" t="str">
        <f>'SINAPI + BDI'!D17</f>
        <v>UND</v>
      </c>
      <c r="D14" s="114">
        <f>'SINAPI + BDI'!G17</f>
        <v>267.64</v>
      </c>
      <c r="E14" s="115">
        <f>'SINAPI + BDI'!E17</f>
        <v>1</v>
      </c>
      <c r="F14" s="116">
        <f t="shared" ref="F14:F20" si="1">E14</f>
        <v>1</v>
      </c>
      <c r="G14" s="117">
        <f t="shared" ref="G14:G15" si="2">F14</f>
        <v>1</v>
      </c>
      <c r="H14" s="117">
        <f t="shared" si="0"/>
        <v>0</v>
      </c>
      <c r="I14" s="31">
        <f t="shared" ref="I14:I21" si="3">TRUNC((D14*E14),2)</f>
        <v>267.64</v>
      </c>
      <c r="J14" s="31">
        <f t="shared" ref="J14:J21" si="4">TRUNC((D14*F14),2)</f>
        <v>267.64</v>
      </c>
      <c r="K14" s="31">
        <f t="shared" ref="K14:K21" si="5">TRUNC((D14*G14),2)</f>
        <v>267.64</v>
      </c>
      <c r="L14" s="118">
        <f t="shared" ref="L14:L21" si="6">TRUNC((D14*H14),2)</f>
        <v>0</v>
      </c>
      <c r="M14" s="90"/>
      <c r="N14" s="119"/>
    </row>
    <row r="15" spans="1:22" ht="12.95" customHeight="1" x14ac:dyDescent="0.2">
      <c r="A15" s="111" t="str">
        <f>'SINAPI + BDI'!A18</f>
        <v>1.3</v>
      </c>
      <c r="B15" s="112" t="str">
        <f>'SINAPI + BDI'!C18</f>
        <v>PLACA DE OBRA EM CHAPA AÇO GALVANIZADO, INSTALADA.</v>
      </c>
      <c r="C15" s="113" t="str">
        <f>'SINAPI + BDI'!D18</f>
        <v>M²</v>
      </c>
      <c r="D15" s="114">
        <f>'SINAPI + BDI'!G18</f>
        <v>234.27</v>
      </c>
      <c r="E15" s="115">
        <f>'SINAPI + BDI'!E18</f>
        <v>2.88</v>
      </c>
      <c r="F15" s="116">
        <f t="shared" si="1"/>
        <v>2.88</v>
      </c>
      <c r="G15" s="117">
        <f t="shared" si="2"/>
        <v>2.88</v>
      </c>
      <c r="H15" s="117">
        <f>E15-G15</f>
        <v>0</v>
      </c>
      <c r="I15" s="31">
        <f t="shared" si="3"/>
        <v>674.69</v>
      </c>
      <c r="J15" s="31">
        <f t="shared" si="4"/>
        <v>674.69</v>
      </c>
      <c r="K15" s="31">
        <f t="shared" si="5"/>
        <v>674.69</v>
      </c>
      <c r="L15" s="118">
        <f t="shared" si="6"/>
        <v>0</v>
      </c>
      <c r="N15" s="119"/>
    </row>
    <row r="16" spans="1:22" ht="12.95" customHeight="1" x14ac:dyDescent="0.2">
      <c r="A16" s="111" t="str">
        <f>'SINAPI + BDI'!A19</f>
        <v>1.4</v>
      </c>
      <c r="B16" s="112" t="str">
        <f>'SINAPI + BDI'!C19</f>
        <v>LOCAÇÃO CONVENCIONAL DE OBRA, UTILIZANDO GABARITO DE TÁBUAS CORRIDAS PONTALETADAS A CADA 2,00M - 2 UTILIZAÇÕES. AF_03/2024.</v>
      </c>
      <c r="C16" s="113" t="str">
        <f>'SINAPI + BDI'!D19</f>
        <v>M</v>
      </c>
      <c r="D16" s="114">
        <f>'SINAPI + BDI'!G19</f>
        <v>83.87</v>
      </c>
      <c r="E16" s="115">
        <f>'SINAPI + BDI'!E19</f>
        <v>75.8</v>
      </c>
      <c r="F16" s="116">
        <f t="shared" si="1"/>
        <v>75.8</v>
      </c>
      <c r="G16" s="117">
        <f t="shared" ref="G16:G21" si="7">F16</f>
        <v>75.8</v>
      </c>
      <c r="H16" s="117">
        <f t="shared" ref="H16:H21" si="8">E16-G16</f>
        <v>0</v>
      </c>
      <c r="I16" s="31">
        <f t="shared" si="3"/>
        <v>6357.34</v>
      </c>
      <c r="J16" s="31">
        <f t="shared" si="4"/>
        <v>6357.34</v>
      </c>
      <c r="K16" s="31">
        <f t="shared" si="5"/>
        <v>6357.34</v>
      </c>
      <c r="L16" s="118">
        <f t="shared" si="6"/>
        <v>0</v>
      </c>
      <c r="N16" s="119"/>
    </row>
    <row r="17" spans="1:14" ht="12.95" customHeight="1" x14ac:dyDescent="0.2">
      <c r="A17" s="111" t="e">
        <f>'SINAPI + BDI'!#REF!</f>
        <v>#REF!</v>
      </c>
      <c r="B17" s="112" t="e">
        <f>'SINAPI + BDI'!#REF!</f>
        <v>#REF!</v>
      </c>
      <c r="C17" s="113" t="e">
        <f>'SINAPI + BDI'!#REF!</f>
        <v>#REF!</v>
      </c>
      <c r="D17" s="114" t="e">
        <f>'SINAPI + BDI'!#REF!</f>
        <v>#REF!</v>
      </c>
      <c r="E17" s="115" t="e">
        <f>'SINAPI + BDI'!#REF!</f>
        <v>#REF!</v>
      </c>
      <c r="F17" s="116" t="e">
        <f t="shared" si="1"/>
        <v>#REF!</v>
      </c>
      <c r="G17" s="117" t="e">
        <f t="shared" si="7"/>
        <v>#REF!</v>
      </c>
      <c r="H17" s="117" t="e">
        <f t="shared" si="8"/>
        <v>#REF!</v>
      </c>
      <c r="I17" s="31" t="e">
        <f t="shared" si="3"/>
        <v>#REF!</v>
      </c>
      <c r="J17" s="31" t="e">
        <f t="shared" si="4"/>
        <v>#REF!</v>
      </c>
      <c r="K17" s="31" t="e">
        <f t="shared" si="5"/>
        <v>#REF!</v>
      </c>
      <c r="L17" s="118" t="e">
        <f t="shared" si="6"/>
        <v>#REF!</v>
      </c>
      <c r="N17" s="119"/>
    </row>
    <row r="18" spans="1:14" ht="12.95" customHeight="1" x14ac:dyDescent="0.2">
      <c r="A18" s="111" t="e">
        <f>'SINAPI + BDI'!#REF!</f>
        <v>#REF!</v>
      </c>
      <c r="B18" s="112" t="e">
        <f>'SINAPI + BDI'!#REF!</f>
        <v>#REF!</v>
      </c>
      <c r="C18" s="113" t="e">
        <f>'SINAPI + BDI'!#REF!</f>
        <v>#REF!</v>
      </c>
      <c r="D18" s="114" t="e">
        <f>'SINAPI + BDI'!#REF!</f>
        <v>#REF!</v>
      </c>
      <c r="E18" s="115" t="e">
        <f>'SINAPI + BDI'!#REF!</f>
        <v>#REF!</v>
      </c>
      <c r="F18" s="116" t="e">
        <f t="shared" si="1"/>
        <v>#REF!</v>
      </c>
      <c r="G18" s="117" t="e">
        <f t="shared" si="7"/>
        <v>#REF!</v>
      </c>
      <c r="H18" s="117" t="e">
        <f t="shared" si="8"/>
        <v>#REF!</v>
      </c>
      <c r="I18" s="31" t="e">
        <f t="shared" si="3"/>
        <v>#REF!</v>
      </c>
      <c r="J18" s="31" t="e">
        <f t="shared" si="4"/>
        <v>#REF!</v>
      </c>
      <c r="K18" s="31" t="e">
        <f t="shared" si="5"/>
        <v>#REF!</v>
      </c>
      <c r="L18" s="118" t="e">
        <f t="shared" si="6"/>
        <v>#REF!</v>
      </c>
      <c r="N18" s="119"/>
    </row>
    <row r="19" spans="1:14" ht="12.95" customHeight="1" x14ac:dyDescent="0.2">
      <c r="A19" s="111" t="str">
        <f>'SINAPI + BDI'!A20</f>
        <v>1.5</v>
      </c>
      <c r="B19" s="112" t="str">
        <f>'SINAPI + BDI'!C20</f>
        <v>EXECUÇÃO DE DEPÓSITO EM CANTEIRO DE OBRA EM CHAPA DE MADEIRA COMPENSADA, NÃO INCLUSO MOBILIÁRIO. AF_04/2016.</v>
      </c>
      <c r="C19" s="113" t="str">
        <f>'SINAPI + BDI'!D20</f>
        <v>M²</v>
      </c>
      <c r="D19" s="114">
        <f>'SINAPI + BDI'!G20</f>
        <v>1012.19</v>
      </c>
      <c r="E19" s="115">
        <f>'SINAPI + BDI'!E20</f>
        <v>3.5</v>
      </c>
      <c r="F19" s="116">
        <f t="shared" si="1"/>
        <v>3.5</v>
      </c>
      <c r="G19" s="117">
        <f t="shared" si="7"/>
        <v>3.5</v>
      </c>
      <c r="H19" s="117">
        <f t="shared" si="8"/>
        <v>0</v>
      </c>
      <c r="I19" s="31">
        <f t="shared" si="3"/>
        <v>3542.66</v>
      </c>
      <c r="J19" s="31">
        <f t="shared" si="4"/>
        <v>3542.66</v>
      </c>
      <c r="K19" s="31">
        <f t="shared" si="5"/>
        <v>3542.66</v>
      </c>
      <c r="L19" s="118">
        <f t="shared" si="6"/>
        <v>0</v>
      </c>
    </row>
    <row r="20" spans="1:14" ht="12.95" customHeight="1" x14ac:dyDescent="0.2">
      <c r="A20" s="111" t="str">
        <f>'SINAPI + BDI'!A22</f>
        <v>1.7</v>
      </c>
      <c r="B20" s="112" t="str">
        <f>'SINAPI + BDI'!C22</f>
        <v>INSTALAÇÃO PROVISORIA DE FORÇA.</v>
      </c>
      <c r="C20" s="113" t="str">
        <f>'SINAPI + BDI'!D22</f>
        <v>PT</v>
      </c>
      <c r="D20" s="114">
        <f>'SINAPI + BDI'!G22</f>
        <v>215.06</v>
      </c>
      <c r="E20" s="115">
        <f>'SINAPI + BDI'!E22</f>
        <v>1</v>
      </c>
      <c r="F20" s="116">
        <f t="shared" si="1"/>
        <v>1</v>
      </c>
      <c r="G20" s="117">
        <f t="shared" si="7"/>
        <v>1</v>
      </c>
      <c r="H20" s="117">
        <f t="shared" si="8"/>
        <v>0</v>
      </c>
      <c r="I20" s="31">
        <f t="shared" si="3"/>
        <v>215.06</v>
      </c>
      <c r="J20" s="31">
        <f t="shared" si="4"/>
        <v>215.06</v>
      </c>
      <c r="K20" s="31">
        <f t="shared" si="5"/>
        <v>215.06</v>
      </c>
      <c r="L20" s="118">
        <f t="shared" si="6"/>
        <v>0</v>
      </c>
    </row>
    <row r="21" spans="1:14" ht="12.95" customHeight="1" x14ac:dyDescent="0.2">
      <c r="A21" s="111" t="str">
        <f>'SINAPI + BDI'!A23</f>
        <v>1.8</v>
      </c>
      <c r="B21" s="112" t="str">
        <f>'SINAPI + BDI'!C23</f>
        <v>INSTALAÇÃO PROVISORIA DE AGUA.</v>
      </c>
      <c r="C21" s="113" t="str">
        <f>'SINAPI + BDI'!D23</f>
        <v>PT</v>
      </c>
      <c r="D21" s="114">
        <f>'SINAPI + BDI'!G23</f>
        <v>891.36</v>
      </c>
      <c r="E21" s="153">
        <f>'SINAPI + BDI'!E23</f>
        <v>1</v>
      </c>
      <c r="F21" s="154">
        <v>0.22000049999999999</v>
      </c>
      <c r="G21" s="153">
        <f t="shared" si="7"/>
        <v>0.22000049999999999</v>
      </c>
      <c r="H21" s="153">
        <f t="shared" si="8"/>
        <v>0.77999949999999996</v>
      </c>
      <c r="I21" s="31">
        <f t="shared" si="3"/>
        <v>891.36</v>
      </c>
      <c r="J21" s="31">
        <f t="shared" si="4"/>
        <v>196.09</v>
      </c>
      <c r="K21" s="31">
        <f t="shared" si="5"/>
        <v>196.09</v>
      </c>
      <c r="L21" s="118">
        <f t="shared" si="6"/>
        <v>695.26</v>
      </c>
    </row>
    <row r="22" spans="1:14" ht="6.95" customHeight="1" x14ac:dyDescent="0.2">
      <c r="A22" s="111"/>
      <c r="B22" s="112"/>
      <c r="C22" s="113"/>
      <c r="D22" s="114"/>
      <c r="E22" s="115"/>
      <c r="F22" s="116"/>
      <c r="G22" s="117"/>
      <c r="H22" s="117"/>
      <c r="I22" s="31"/>
      <c r="J22" s="31"/>
      <c r="K22" s="31"/>
      <c r="L22" s="118"/>
      <c r="N22" s="119"/>
    </row>
    <row r="23" spans="1:14" ht="12.95" customHeight="1" x14ac:dyDescent="0.2">
      <c r="A23" s="103" t="str">
        <f>'SINAPI + BDI'!A26</f>
        <v>2.0</v>
      </c>
      <c r="B23" s="104" t="str">
        <f>'SINAPI + BDI'!C26</f>
        <v>INFRAESTRUTURA/FUNDAÇÕES SIMPLES</v>
      </c>
      <c r="C23" s="105"/>
      <c r="D23" s="106"/>
      <c r="E23" s="107"/>
      <c r="F23" s="108"/>
      <c r="G23" s="109"/>
      <c r="H23" s="109"/>
      <c r="I23" s="110" t="e">
        <f>SUM(I24:I28)</f>
        <v>#REF!</v>
      </c>
      <c r="J23" s="110" t="e">
        <f>SUM(J24:J28)</f>
        <v>#REF!</v>
      </c>
      <c r="K23" s="110" t="e">
        <f>SUM(K24:K28)</f>
        <v>#REF!</v>
      </c>
      <c r="L23" s="110" t="e">
        <f t="shared" ref="L23:L49" si="9">I23-K23</f>
        <v>#REF!</v>
      </c>
    </row>
    <row r="24" spans="1:14" ht="12.95" customHeight="1" x14ac:dyDescent="0.2">
      <c r="A24" s="111" t="e">
        <f>'SINAPI + BDI'!#REF!</f>
        <v>#REF!</v>
      </c>
      <c r="B24" s="112" t="e">
        <f>'SINAPI + BDI'!#REF!</f>
        <v>#REF!</v>
      </c>
      <c r="C24" s="113" t="e">
        <f>'SINAPI + BDI'!#REF!</f>
        <v>#REF!</v>
      </c>
      <c r="D24" s="114" t="e">
        <f>'SINAPI + BDI'!#REF!</f>
        <v>#REF!</v>
      </c>
      <c r="E24" s="115" t="e">
        <f>'SINAPI + BDI'!#REF!</f>
        <v>#REF!</v>
      </c>
      <c r="F24" s="116"/>
      <c r="G24" s="117">
        <f t="shared" ref="G24:G54" si="10">F24</f>
        <v>0</v>
      </c>
      <c r="H24" s="117" t="e">
        <f t="shared" ref="H24:H54" si="11">E24-G24</f>
        <v>#REF!</v>
      </c>
      <c r="I24" s="31" t="e">
        <f t="shared" ref="I24:I28" si="12">TRUNC((D24*E24),2)</f>
        <v>#REF!</v>
      </c>
      <c r="J24" s="31" t="e">
        <f t="shared" ref="J24:J28" si="13">TRUNC((D24*F24),2)</f>
        <v>#REF!</v>
      </c>
      <c r="K24" s="31" t="e">
        <f t="shared" ref="K24:K28" si="14">TRUNC((D24*G24),2)</f>
        <v>#REF!</v>
      </c>
      <c r="L24" s="118" t="e">
        <f t="shared" ref="L24:L28" si="15">TRUNC((D24*H24),2)</f>
        <v>#REF!</v>
      </c>
    </row>
    <row r="25" spans="1:14" ht="12.95" customHeight="1" x14ac:dyDescent="0.2">
      <c r="A25" s="111" t="str">
        <f>'SINAPI + BDI'!A27</f>
        <v>2.1</v>
      </c>
      <c r="B25" s="112" t="str">
        <f>'SINAPI + BDI'!C27</f>
        <v>LIMPEZA MECANIZADA DE CAMADA VEGETAL, VEGETAÇÃO E PEQUENAS ÁRVORES (DIÂMETRO DE TRONCO MENOR QUE 0,20 M), COM TRATOR DE ESTEIRAS. AF_03/2024.</v>
      </c>
      <c r="C25" s="113" t="str">
        <f>'SINAPI + BDI'!D27</f>
        <v>M²</v>
      </c>
      <c r="D25" s="114">
        <f>'SINAPI + BDI'!G27</f>
        <v>0.74</v>
      </c>
      <c r="E25" s="115">
        <f>'SINAPI + BDI'!E27</f>
        <v>1770.48</v>
      </c>
      <c r="F25" s="116">
        <v>50</v>
      </c>
      <c r="G25" s="117">
        <f t="shared" si="10"/>
        <v>50</v>
      </c>
      <c r="H25" s="117">
        <f t="shared" si="11"/>
        <v>1720.48</v>
      </c>
      <c r="I25" s="31">
        <f t="shared" si="12"/>
        <v>1310.1500000000001</v>
      </c>
      <c r="J25" s="31">
        <f t="shared" si="13"/>
        <v>37</v>
      </c>
      <c r="K25" s="31">
        <f t="shared" si="14"/>
        <v>37</v>
      </c>
      <c r="L25" s="118">
        <f t="shared" si="15"/>
        <v>1273.1500000000001</v>
      </c>
      <c r="M25" s="90"/>
      <c r="N25" s="119"/>
    </row>
    <row r="26" spans="1:14" ht="12.95" customHeight="1" x14ac:dyDescent="0.2">
      <c r="A26" s="111" t="str">
        <f>'SINAPI + BDI'!A28</f>
        <v>2.2</v>
      </c>
      <c r="B26" s="112" t="str">
        <f>'SINAPI + BDI'!C28</f>
        <v>ESCAVAÇÃO MANUAL PARA BLOCO DE COROAMENTO OU SAPATA (INCLUINDO ESCAVAÇÃO PARA COLOCAÇÃO DE FÔRMAS). AF_06/2017</v>
      </c>
      <c r="C26" s="113" t="str">
        <f>'SINAPI + BDI'!D28</f>
        <v>M³</v>
      </c>
      <c r="D26" s="114">
        <f>'SINAPI + BDI'!G28</f>
        <v>109.29</v>
      </c>
      <c r="E26" s="115">
        <f>'SINAPI + BDI'!E28</f>
        <v>17.149999999999999</v>
      </c>
      <c r="F26" s="116">
        <v>880</v>
      </c>
      <c r="G26" s="117">
        <f t="shared" si="10"/>
        <v>880</v>
      </c>
      <c r="H26" s="117">
        <f t="shared" si="11"/>
        <v>-862.85</v>
      </c>
      <c r="I26" s="31">
        <f t="shared" si="12"/>
        <v>1874.32</v>
      </c>
      <c r="J26" s="31">
        <f t="shared" si="13"/>
        <v>96175.2</v>
      </c>
      <c r="K26" s="31">
        <f t="shared" si="14"/>
        <v>96175.2</v>
      </c>
      <c r="L26" s="118">
        <f t="shared" si="15"/>
        <v>-94300.87</v>
      </c>
      <c r="N26" s="119"/>
    </row>
    <row r="27" spans="1:14" ht="12.95" customHeight="1" x14ac:dyDescent="0.2">
      <c r="A27" s="111" t="str">
        <f>'SINAPI + BDI'!A36</f>
        <v>2.10</v>
      </c>
      <c r="B27" s="112" t="str">
        <f>'SINAPI + BDI'!C36</f>
        <v>TRANSPORTE COM CAMINHÃO BASCULANTE DE 10 M³, EM VIA URBANA PAVIMENTADA, DMT ATÉ 30 KM (UNIDADE: M3XKM). AF_07/2020</v>
      </c>
      <c r="C27" s="113" t="str">
        <f>'SINAPI + BDI'!D36</f>
        <v>M³ x KM</v>
      </c>
      <c r="D27" s="114">
        <f>'SINAPI + BDI'!G36</f>
        <v>3.11</v>
      </c>
      <c r="E27" s="115">
        <f>'SINAPI + BDI'!E36</f>
        <v>3855.72</v>
      </c>
      <c r="F27" s="116">
        <v>50</v>
      </c>
      <c r="G27" s="117">
        <f t="shared" si="10"/>
        <v>50</v>
      </c>
      <c r="H27" s="117">
        <f t="shared" si="11"/>
        <v>3805.72</v>
      </c>
      <c r="I27" s="31">
        <f t="shared" si="12"/>
        <v>11991.28</v>
      </c>
      <c r="J27" s="31">
        <f t="shared" si="13"/>
        <v>155.5</v>
      </c>
      <c r="K27" s="31">
        <f t="shared" si="14"/>
        <v>155.5</v>
      </c>
      <c r="L27" s="118">
        <f t="shared" si="15"/>
        <v>11835.78</v>
      </c>
      <c r="N27" s="119"/>
    </row>
    <row r="28" spans="1:14" ht="12.95" customHeight="1" x14ac:dyDescent="0.2">
      <c r="A28" s="111" t="e">
        <f>'SINAPI + BDI'!#REF!</f>
        <v>#REF!</v>
      </c>
      <c r="B28" s="112" t="e">
        <f>'SINAPI + BDI'!#REF!</f>
        <v>#REF!</v>
      </c>
      <c r="C28" s="113" t="e">
        <f>'SINAPI + BDI'!#REF!</f>
        <v>#REF!</v>
      </c>
      <c r="D28" s="114" t="e">
        <f>'SINAPI + BDI'!#REF!</f>
        <v>#REF!</v>
      </c>
      <c r="E28" s="115" t="e">
        <f>'SINAPI + BDI'!#REF!</f>
        <v>#REF!</v>
      </c>
      <c r="F28" s="116"/>
      <c r="G28" s="117">
        <f t="shared" si="10"/>
        <v>0</v>
      </c>
      <c r="H28" s="117" t="e">
        <f t="shared" si="11"/>
        <v>#REF!</v>
      </c>
      <c r="I28" s="31" t="e">
        <f t="shared" si="12"/>
        <v>#REF!</v>
      </c>
      <c r="J28" s="31" t="e">
        <f t="shared" si="13"/>
        <v>#REF!</v>
      </c>
      <c r="K28" s="31" t="e">
        <f t="shared" si="14"/>
        <v>#REF!</v>
      </c>
      <c r="L28" s="118" t="e">
        <f t="shared" si="15"/>
        <v>#REF!</v>
      </c>
      <c r="N28" s="119"/>
    </row>
    <row r="29" spans="1:14" ht="6.95" customHeight="1" x14ac:dyDescent="0.2">
      <c r="A29" s="111"/>
      <c r="B29" s="112"/>
      <c r="C29" s="113"/>
      <c r="D29" s="114"/>
      <c r="E29" s="115"/>
      <c r="F29" s="116"/>
      <c r="G29" s="117"/>
      <c r="H29" s="117"/>
      <c r="I29" s="31"/>
      <c r="J29" s="31"/>
      <c r="K29" s="31"/>
      <c r="L29" s="118"/>
      <c r="N29" s="119"/>
    </row>
    <row r="30" spans="1:14" ht="12.95" customHeight="1" x14ac:dyDescent="0.2">
      <c r="A30" s="103" t="str">
        <f>'SINAPI + BDI'!A38</f>
        <v>3.0</v>
      </c>
      <c r="B30" s="104" t="str">
        <f>'SINAPI + BDI'!C38</f>
        <v>SUPERESTRUTURA</v>
      </c>
      <c r="C30" s="105"/>
      <c r="D30" s="106"/>
      <c r="E30" s="107"/>
      <c r="F30" s="108"/>
      <c r="G30" s="109"/>
      <c r="H30" s="109"/>
      <c r="I30" s="110" t="e">
        <f>SUM(I31:I33)</f>
        <v>#REF!</v>
      </c>
      <c r="J30" s="110" t="e">
        <f>SUM(J31:J33)</f>
        <v>#REF!</v>
      </c>
      <c r="K30" s="110" t="e">
        <f>SUM(K31:K33)</f>
        <v>#REF!</v>
      </c>
      <c r="L30" s="110" t="e">
        <f t="shared" si="9"/>
        <v>#REF!</v>
      </c>
    </row>
    <row r="31" spans="1:14" ht="12.95" customHeight="1" x14ac:dyDescent="0.2">
      <c r="A31" s="111" t="str">
        <f>'SINAPI + BDI'!A39</f>
        <v>3.1</v>
      </c>
      <c r="B31" s="112" t="str">
        <f>'SINAPI + BDI'!C39</f>
        <v>ARMAÇÃO DE PILAR OU VIGA DE ESTRUTURA DE CONCRETO ARMADO EMBUTIDA EM ALVENARIA DE VEDAÇÃO UTILIZANDO AÇO CA-60 DE 5,0 MM - MONTAGEM. AF_06/2022</v>
      </c>
      <c r="C31" s="113" t="str">
        <f>'SINAPI + BDI'!D39</f>
        <v>KG</v>
      </c>
      <c r="D31" s="114">
        <f>'SINAPI + BDI'!G39</f>
        <v>25.48</v>
      </c>
      <c r="E31" s="115">
        <f>'SINAPI + BDI'!E39</f>
        <v>83.16</v>
      </c>
      <c r="F31" s="116"/>
      <c r="G31" s="117">
        <f t="shared" si="10"/>
        <v>0</v>
      </c>
      <c r="H31" s="117">
        <f t="shared" si="11"/>
        <v>83.16</v>
      </c>
      <c r="I31" s="31">
        <f>TRUNC((D31*E31),2)</f>
        <v>2118.91</v>
      </c>
      <c r="J31" s="31">
        <f t="shared" ref="J31:J33" si="16">TRUNC((D31*F31),2)</f>
        <v>0</v>
      </c>
      <c r="K31" s="31">
        <f t="shared" ref="K31:K33" si="17">TRUNC((D31*G31),2)</f>
        <v>0</v>
      </c>
      <c r="L31" s="118">
        <f t="shared" ref="L31:L33" si="18">TRUNC((D31*H31),2)</f>
        <v>2118.91</v>
      </c>
    </row>
    <row r="32" spans="1:14" ht="12.95" customHeight="1" x14ac:dyDescent="0.2">
      <c r="A32" s="111" t="e">
        <f>'SINAPI + BDI'!#REF!</f>
        <v>#REF!</v>
      </c>
      <c r="B32" s="112" t="e">
        <f>'SINAPI + BDI'!#REF!</f>
        <v>#REF!</v>
      </c>
      <c r="C32" s="113" t="e">
        <f>'SINAPI + BDI'!#REF!</f>
        <v>#REF!</v>
      </c>
      <c r="D32" s="114" t="e">
        <f>'SINAPI + BDI'!#REF!</f>
        <v>#REF!</v>
      </c>
      <c r="E32" s="115" t="e">
        <f>'SINAPI + BDI'!#REF!</f>
        <v>#REF!</v>
      </c>
      <c r="F32" s="116">
        <v>580</v>
      </c>
      <c r="G32" s="117">
        <f t="shared" si="10"/>
        <v>580</v>
      </c>
      <c r="H32" s="117" t="e">
        <f t="shared" si="11"/>
        <v>#REF!</v>
      </c>
      <c r="I32" s="31" t="e">
        <f t="shared" ref="I32:I33" si="19">D32*E32</f>
        <v>#REF!</v>
      </c>
      <c r="J32" s="31" t="e">
        <f t="shared" si="16"/>
        <v>#REF!</v>
      </c>
      <c r="K32" s="31" t="e">
        <f t="shared" si="17"/>
        <v>#REF!</v>
      </c>
      <c r="L32" s="118" t="e">
        <f t="shared" si="18"/>
        <v>#REF!</v>
      </c>
      <c r="M32" s="90"/>
      <c r="N32" s="119"/>
    </row>
    <row r="33" spans="1:14" ht="12.95" customHeight="1" x14ac:dyDescent="0.2">
      <c r="A33" s="111" t="str">
        <f>'SINAPI + BDI'!A40</f>
        <v>3.2</v>
      </c>
      <c r="B33" s="112" t="str">
        <f>'SINAPI + BDI'!C40</f>
        <v>ARMAÇÃO DE BLOCO UTILIZANDO AÇO CA-50 DE 8 MM - MONTAGEM. AF_01/2024</v>
      </c>
      <c r="C33" s="113" t="str">
        <f>'SINAPI + BDI'!D40</f>
        <v>KG</v>
      </c>
      <c r="D33" s="114">
        <f>'SINAPI + BDI'!G40</f>
        <v>20.29</v>
      </c>
      <c r="E33" s="115">
        <f>'SINAPI + BDI'!E40</f>
        <v>252.8</v>
      </c>
      <c r="F33" s="116">
        <v>9.0700012000000001</v>
      </c>
      <c r="G33" s="117">
        <f t="shared" si="10"/>
        <v>9.0700012000000001</v>
      </c>
      <c r="H33" s="117">
        <f t="shared" si="11"/>
        <v>243.7299988</v>
      </c>
      <c r="I33" s="31">
        <f t="shared" si="19"/>
        <v>5129.3119999999999</v>
      </c>
      <c r="J33" s="31">
        <f t="shared" si="16"/>
        <v>184.03</v>
      </c>
      <c r="K33" s="31">
        <f t="shared" si="17"/>
        <v>184.03</v>
      </c>
      <c r="L33" s="118">
        <f t="shared" si="18"/>
        <v>4945.28</v>
      </c>
      <c r="N33" s="119"/>
    </row>
    <row r="34" spans="1:14" ht="6.95" customHeight="1" x14ac:dyDescent="0.2">
      <c r="A34" s="111"/>
      <c r="B34" s="112"/>
      <c r="C34" s="113"/>
      <c r="D34" s="114"/>
      <c r="E34" s="115"/>
      <c r="F34" s="116"/>
      <c r="G34" s="117"/>
      <c r="H34" s="117"/>
      <c r="I34" s="31"/>
      <c r="J34" s="31"/>
      <c r="K34" s="31"/>
      <c r="L34" s="118"/>
      <c r="N34" s="119"/>
    </row>
    <row r="35" spans="1:14" ht="12.95" customHeight="1" x14ac:dyDescent="0.2">
      <c r="A35" s="103" t="e">
        <f>'SINAPI + BDI'!#REF!</f>
        <v>#REF!</v>
      </c>
      <c r="B35" s="104" t="e">
        <f>'SINAPI + BDI'!#REF!</f>
        <v>#REF!</v>
      </c>
      <c r="C35" s="105"/>
      <c r="D35" s="106"/>
      <c r="E35" s="107"/>
      <c r="F35" s="108"/>
      <c r="G35" s="109"/>
      <c r="H35" s="109"/>
      <c r="I35" s="110" t="e">
        <f>SUM(I36:I41)</f>
        <v>#REF!</v>
      </c>
      <c r="J35" s="110" t="e">
        <f>SUM(J36:J41)</f>
        <v>#REF!</v>
      </c>
      <c r="K35" s="110" t="e">
        <f>SUM(K36:K41)</f>
        <v>#REF!</v>
      </c>
      <c r="L35" s="110" t="e">
        <f t="shared" si="9"/>
        <v>#REF!</v>
      </c>
    </row>
    <row r="36" spans="1:14" ht="12.95" customHeight="1" x14ac:dyDescent="0.2">
      <c r="A36" s="111" t="str">
        <f>'SINAPI + BDI'!A41</f>
        <v>3.3</v>
      </c>
      <c r="B36" s="112" t="str">
        <f>'SINAPI + BDI'!C41</f>
        <v>ARMAÇÃO DE PILAR OU VIGA DE ESTRUTURA CONVENCIONAL DE CONCRETO ARMADO UTILIZANDO AÇO CA-50 DE 10,0 MM - MONTAGEM. AF_06/2022.</v>
      </c>
      <c r="C36" s="113" t="str">
        <f>'SINAPI + BDI'!D41</f>
        <v>KG</v>
      </c>
      <c r="D36" s="114">
        <f>'SINAPI + BDI'!G41</f>
        <v>14.21</v>
      </c>
      <c r="E36" s="115">
        <f>'SINAPI + BDI'!E41</f>
        <v>185.1</v>
      </c>
      <c r="F36" s="116">
        <v>60</v>
      </c>
      <c r="G36" s="117">
        <f t="shared" si="10"/>
        <v>60</v>
      </c>
      <c r="H36" s="117">
        <f t="shared" si="11"/>
        <v>125.1</v>
      </c>
      <c r="I36" s="31">
        <f t="shared" ref="I36:I41" si="20">TRUNC((D36*E36),2)</f>
        <v>2630.27</v>
      </c>
      <c r="J36" s="31">
        <f t="shared" ref="J36:J41" si="21">TRUNC((D36*F36),2)</f>
        <v>852.6</v>
      </c>
      <c r="K36" s="31">
        <f t="shared" ref="K36:K41" si="22">TRUNC((D36*G36),2)</f>
        <v>852.6</v>
      </c>
      <c r="L36" s="118">
        <f t="shared" ref="L36:L41" si="23">TRUNC((D36*H36),2)</f>
        <v>1777.67</v>
      </c>
    </row>
    <row r="37" spans="1:14" ht="12.95" customHeight="1" x14ac:dyDescent="0.2">
      <c r="A37" s="111" t="e">
        <f>'SINAPI + BDI'!#REF!</f>
        <v>#REF!</v>
      </c>
      <c r="B37" s="112" t="e">
        <f>'SINAPI + BDI'!#REF!</f>
        <v>#REF!</v>
      </c>
      <c r="C37" s="113" t="e">
        <f>'SINAPI + BDI'!#REF!</f>
        <v>#REF!</v>
      </c>
      <c r="D37" s="114" t="e">
        <f>'SINAPI + BDI'!#REF!</f>
        <v>#REF!</v>
      </c>
      <c r="E37" s="115" t="e">
        <f>'SINAPI + BDI'!#REF!</f>
        <v>#REF!</v>
      </c>
      <c r="F37" s="116">
        <v>141.9605</v>
      </c>
      <c r="G37" s="117">
        <f t="shared" si="10"/>
        <v>141.9605</v>
      </c>
      <c r="H37" s="117" t="e">
        <f t="shared" si="11"/>
        <v>#REF!</v>
      </c>
      <c r="I37" s="31" t="e">
        <f t="shared" si="20"/>
        <v>#REF!</v>
      </c>
      <c r="J37" s="31" t="e">
        <f t="shared" si="21"/>
        <v>#REF!</v>
      </c>
      <c r="K37" s="31" t="e">
        <f t="shared" si="22"/>
        <v>#REF!</v>
      </c>
      <c r="L37" s="118" t="e">
        <f t="shared" si="23"/>
        <v>#REF!</v>
      </c>
      <c r="M37" s="90"/>
      <c r="N37" s="119"/>
    </row>
    <row r="38" spans="1:14" ht="12.95" customHeight="1" x14ac:dyDescent="0.2">
      <c r="A38" s="111" t="e">
        <f>'SINAPI + BDI'!#REF!</f>
        <v>#REF!</v>
      </c>
      <c r="B38" s="112" t="e">
        <f>'SINAPI + BDI'!#REF!</f>
        <v>#REF!</v>
      </c>
      <c r="C38" s="113" t="e">
        <f>'SINAPI + BDI'!#REF!</f>
        <v>#REF!</v>
      </c>
      <c r="D38" s="114" t="e">
        <f>'SINAPI + BDI'!#REF!</f>
        <v>#REF!</v>
      </c>
      <c r="E38" s="115" t="e">
        <f>'SINAPI + BDI'!#REF!</f>
        <v>#REF!</v>
      </c>
      <c r="F38" s="116">
        <v>670.82</v>
      </c>
      <c r="G38" s="117">
        <f t="shared" si="10"/>
        <v>670.82</v>
      </c>
      <c r="H38" s="117" t="e">
        <f t="shared" si="11"/>
        <v>#REF!</v>
      </c>
      <c r="I38" s="31" t="e">
        <f t="shared" si="20"/>
        <v>#REF!</v>
      </c>
      <c r="J38" s="31" t="e">
        <f t="shared" si="21"/>
        <v>#REF!</v>
      </c>
      <c r="K38" s="31" t="e">
        <f t="shared" si="22"/>
        <v>#REF!</v>
      </c>
      <c r="L38" s="118" t="e">
        <f t="shared" si="23"/>
        <v>#REF!</v>
      </c>
    </row>
    <row r="39" spans="1:14" ht="12.95" customHeight="1" x14ac:dyDescent="0.2">
      <c r="A39" s="111" t="str">
        <f>'SINAPI + BDI'!A42</f>
        <v>3.4</v>
      </c>
      <c r="B39" s="112" t="str">
        <f>'SINAPI + BDI'!C42</f>
        <v>FORMA PARA PILARES EM TABUAS DE MADEIRA.</v>
      </c>
      <c r="C39" s="113" t="str">
        <f>'SINAPI + BDI'!D42</f>
        <v>M²</v>
      </c>
      <c r="D39" s="114">
        <f>'SINAPI + BDI'!G42</f>
        <v>153.94999999999999</v>
      </c>
      <c r="E39" s="115">
        <f>'SINAPI + BDI'!E42</f>
        <v>4.5</v>
      </c>
      <c r="F39" s="116">
        <v>3</v>
      </c>
      <c r="G39" s="117">
        <f t="shared" si="10"/>
        <v>3</v>
      </c>
      <c r="H39" s="117">
        <f t="shared" si="11"/>
        <v>1.5</v>
      </c>
      <c r="I39" s="31">
        <f t="shared" si="20"/>
        <v>692.77</v>
      </c>
      <c r="J39" s="31">
        <f t="shared" si="21"/>
        <v>461.85</v>
      </c>
      <c r="K39" s="31">
        <f t="shared" si="22"/>
        <v>461.85</v>
      </c>
      <c r="L39" s="118">
        <f t="shared" si="23"/>
        <v>230.92</v>
      </c>
      <c r="M39" s="90"/>
      <c r="N39" s="119"/>
    </row>
    <row r="40" spans="1:14" ht="12.95" customHeight="1" x14ac:dyDescent="0.2">
      <c r="A40" s="111" t="e">
        <f>'SINAPI + BDI'!#REF!</f>
        <v>#REF!</v>
      </c>
      <c r="B40" s="112" t="e">
        <f>'SINAPI + BDI'!#REF!</f>
        <v>#REF!</v>
      </c>
      <c r="C40" s="113" t="e">
        <f>'SINAPI + BDI'!#REF!</f>
        <v>#REF!</v>
      </c>
      <c r="D40" s="114" t="e">
        <f>'SINAPI + BDI'!#REF!</f>
        <v>#REF!</v>
      </c>
      <c r="E40" s="115" t="e">
        <f>'SINAPI + BDI'!#REF!</f>
        <v>#REF!</v>
      </c>
      <c r="F40" s="116">
        <v>17.850020000000001</v>
      </c>
      <c r="G40" s="117">
        <f t="shared" si="10"/>
        <v>17.850020000000001</v>
      </c>
      <c r="H40" s="117" t="e">
        <f t="shared" si="11"/>
        <v>#REF!</v>
      </c>
      <c r="I40" s="31" t="e">
        <f t="shared" si="20"/>
        <v>#REF!</v>
      </c>
      <c r="J40" s="31" t="e">
        <f t="shared" si="21"/>
        <v>#REF!</v>
      </c>
      <c r="K40" s="31" t="e">
        <f t="shared" si="22"/>
        <v>#REF!</v>
      </c>
      <c r="L40" s="118" t="e">
        <f t="shared" si="23"/>
        <v>#REF!</v>
      </c>
    </row>
    <row r="41" spans="1:14" ht="12.95" customHeight="1" x14ac:dyDescent="0.2">
      <c r="A41" s="111" t="str">
        <f>'SINAPI + BDI'!A43</f>
        <v>3.5</v>
      </c>
      <c r="B41" s="112" t="str">
        <f>'SINAPI + BDI'!C43</f>
        <v>CONCRETAGEM DE PILARES, FCK = 25 MPA, COM USO DE BALDES - LANÇAMENTO, ADENSAMENTO E ACABAMENTO. AF_02/2022.</v>
      </c>
      <c r="C41" s="113" t="str">
        <f>'SINAPI + BDI'!D43</f>
        <v>M³</v>
      </c>
      <c r="D41" s="114">
        <f>'SINAPI + BDI'!G43</f>
        <v>1180.51</v>
      </c>
      <c r="E41" s="115">
        <f>'SINAPI + BDI'!E43</f>
        <v>1.56</v>
      </c>
      <c r="F41" s="116">
        <f>E41</f>
        <v>1.56</v>
      </c>
      <c r="G41" s="117">
        <f t="shared" si="10"/>
        <v>1.56</v>
      </c>
      <c r="H41" s="117">
        <f t="shared" si="11"/>
        <v>0</v>
      </c>
      <c r="I41" s="31">
        <f t="shared" si="20"/>
        <v>1841.59</v>
      </c>
      <c r="J41" s="31">
        <f t="shared" si="21"/>
        <v>1841.59</v>
      </c>
      <c r="K41" s="31">
        <f t="shared" si="22"/>
        <v>1841.59</v>
      </c>
      <c r="L41" s="118">
        <f t="shared" si="23"/>
        <v>0</v>
      </c>
      <c r="M41" s="90"/>
      <c r="N41" s="119"/>
    </row>
    <row r="42" spans="1:14" ht="6.95" customHeight="1" x14ac:dyDescent="0.2">
      <c r="A42" s="111"/>
      <c r="B42" s="112"/>
      <c r="C42" s="113"/>
      <c r="D42" s="114"/>
      <c r="E42" s="115"/>
      <c r="F42" s="116"/>
      <c r="G42" s="117"/>
      <c r="H42" s="117"/>
      <c r="I42" s="31"/>
      <c r="J42" s="31"/>
      <c r="K42" s="31"/>
      <c r="L42" s="118"/>
      <c r="N42" s="119"/>
    </row>
    <row r="43" spans="1:14" ht="12.95" customHeight="1" x14ac:dyDescent="0.2">
      <c r="A43" s="103" t="str">
        <f>'SINAPI + BDI'!A45</f>
        <v>4.0</v>
      </c>
      <c r="B43" s="104" t="str">
        <f>'SINAPI + BDI'!C45</f>
        <v>ALVENARIA DE VEDAÇÃO/DIVISÓRIA</v>
      </c>
      <c r="C43" s="105"/>
      <c r="D43" s="106"/>
      <c r="E43" s="107"/>
      <c r="F43" s="108"/>
      <c r="G43" s="109"/>
      <c r="H43" s="109"/>
      <c r="I43" s="110">
        <f>SUM(I44)</f>
        <v>7586.16</v>
      </c>
      <c r="J43" s="110">
        <f>SUM(J44)</f>
        <v>7586.16</v>
      </c>
      <c r="K43" s="110">
        <f>SUM(K44)</f>
        <v>7586.16</v>
      </c>
      <c r="L43" s="110">
        <f t="shared" si="9"/>
        <v>0</v>
      </c>
    </row>
    <row r="44" spans="1:14" ht="12.95" customHeight="1" x14ac:dyDescent="0.2">
      <c r="A44" s="111" t="str">
        <f>'SINAPI + BDI'!A46</f>
        <v>4.1</v>
      </c>
      <c r="B44" s="112" t="str">
        <f>'SINAPI + BDI'!C46</f>
        <v>ALVENARIA DE VEDAÇÃO DE BLOCOS CERÂMICOS FURADOS NA VERTICAL DE 19X19X39 CM (ESPESSURA 19 CM) E ARGAMASSA DE ASSENTAMENTO COM PREPARO EM BETONEIRA. AF_12/2021</v>
      </c>
      <c r="C44" s="113" t="str">
        <f>'SINAPI + BDI'!D46</f>
        <v>M²</v>
      </c>
      <c r="D44" s="114">
        <f>'SINAPI + BDI'!G46</f>
        <v>103.92</v>
      </c>
      <c r="E44" s="115">
        <f>'SINAPI + BDI'!E46</f>
        <v>73</v>
      </c>
      <c r="F44" s="116">
        <f>E44</f>
        <v>73</v>
      </c>
      <c r="G44" s="117">
        <f t="shared" si="10"/>
        <v>73</v>
      </c>
      <c r="H44" s="117">
        <f t="shared" si="11"/>
        <v>0</v>
      </c>
      <c r="I44" s="31">
        <f>TRUNC((D44*E44),2)</f>
        <v>7586.16</v>
      </c>
      <c r="J44" s="31">
        <f>TRUNC((D44*F44),2)</f>
        <v>7586.16</v>
      </c>
      <c r="K44" s="31">
        <f>TRUNC((D44*G44),2)</f>
        <v>7586.16</v>
      </c>
      <c r="L44" s="118">
        <f>TRUNC((D44*H44),2)</f>
        <v>0</v>
      </c>
    </row>
    <row r="45" spans="1:14" ht="6.95" customHeight="1" x14ac:dyDescent="0.2">
      <c r="A45" s="111"/>
      <c r="B45" s="112"/>
      <c r="C45" s="113"/>
      <c r="D45" s="114"/>
      <c r="E45" s="115"/>
      <c r="F45" s="116"/>
      <c r="G45" s="117"/>
      <c r="H45" s="117"/>
      <c r="I45" s="31"/>
      <c r="J45" s="31"/>
      <c r="K45" s="31"/>
      <c r="L45" s="118"/>
      <c r="N45" s="119"/>
    </row>
    <row r="46" spans="1:14" ht="12.95" customHeight="1" x14ac:dyDescent="0.2">
      <c r="A46" s="103" t="str">
        <f>'SINAPI + BDI'!A48</f>
        <v>5.0</v>
      </c>
      <c r="B46" s="104" t="str">
        <f>'SINAPI + BDI'!C48</f>
        <v>IMPERMEABILIZAÇÃO DE SUPERFÍCIES</v>
      </c>
      <c r="C46" s="105"/>
      <c r="D46" s="106"/>
      <c r="E46" s="107"/>
      <c r="F46" s="108"/>
      <c r="G46" s="109"/>
      <c r="H46" s="109"/>
      <c r="I46" s="110">
        <f>SUM(I47)</f>
        <v>7428.48</v>
      </c>
      <c r="J46" s="110">
        <f>SUM(J47)</f>
        <v>0</v>
      </c>
      <c r="K46" s="110">
        <f>SUM(K47)</f>
        <v>0</v>
      </c>
      <c r="L46" s="110">
        <f t="shared" si="9"/>
        <v>7428.48</v>
      </c>
    </row>
    <row r="47" spans="1:14" ht="12.95" customHeight="1" x14ac:dyDescent="0.2">
      <c r="A47" s="111" t="str">
        <f>'SINAPI + BDI'!A49</f>
        <v>5.1</v>
      </c>
      <c r="B47" s="112" t="str">
        <f>'SINAPI + BDI'!C49</f>
        <v>IMPERMEABILIZAÇÃO DE SUPERFÍCIE COM EMULSÃO ASFÁLTICA, 2 DEMÃOS. AF_09/2023.</v>
      </c>
      <c r="C47" s="113" t="str">
        <f>'SINAPI + BDI'!D49</f>
        <v>M²</v>
      </c>
      <c r="D47" s="114">
        <f>'SINAPI + BDI'!G49</f>
        <v>50.88</v>
      </c>
      <c r="E47" s="115">
        <f>'SINAPI + BDI'!E49</f>
        <v>146</v>
      </c>
      <c r="F47" s="116"/>
      <c r="G47" s="117">
        <f t="shared" si="10"/>
        <v>0</v>
      </c>
      <c r="H47" s="117">
        <f t="shared" si="11"/>
        <v>146</v>
      </c>
      <c r="I47" s="31">
        <f>TRUNC((D47*E47),2)</f>
        <v>7428.48</v>
      </c>
      <c r="J47" s="31">
        <f>TRUNC((D47*F47),2)</f>
        <v>0</v>
      </c>
      <c r="K47" s="31">
        <f>TRUNC((D47*G47),2)</f>
        <v>0</v>
      </c>
      <c r="L47" s="118">
        <f>TRUNC((D47*H47),2)</f>
        <v>7428.48</v>
      </c>
    </row>
    <row r="48" spans="1:14" ht="6.95" customHeight="1" x14ac:dyDescent="0.2">
      <c r="A48" s="111"/>
      <c r="B48" s="112"/>
      <c r="C48" s="113"/>
      <c r="D48" s="114"/>
      <c r="E48" s="115"/>
      <c r="F48" s="116"/>
      <c r="G48" s="117"/>
      <c r="H48" s="117"/>
      <c r="I48" s="31"/>
      <c r="J48" s="31"/>
      <c r="K48" s="31"/>
      <c r="L48" s="118"/>
      <c r="N48" s="119"/>
    </row>
    <row r="49" spans="1:14" ht="12.95" customHeight="1" x14ac:dyDescent="0.2">
      <c r="A49" s="103" t="str">
        <f>'SINAPI + BDI'!A63</f>
        <v>7.0</v>
      </c>
      <c r="B49" s="104" t="str">
        <f>'SINAPI + BDI'!C63</f>
        <v>REVESTIMENTOS</v>
      </c>
      <c r="C49" s="105"/>
      <c r="D49" s="106"/>
      <c r="E49" s="107"/>
      <c r="F49" s="108"/>
      <c r="G49" s="109"/>
      <c r="H49" s="109"/>
      <c r="I49" s="110" t="e">
        <f>SUM(I50:I55)</f>
        <v>#REF!</v>
      </c>
      <c r="J49" s="110" t="e">
        <f>SUM(J50:J55)</f>
        <v>#REF!</v>
      </c>
      <c r="K49" s="110" t="e">
        <f>SUM(K50:K55)</f>
        <v>#REF!</v>
      </c>
      <c r="L49" s="110" t="e">
        <f t="shared" si="9"/>
        <v>#REF!</v>
      </c>
    </row>
    <row r="50" spans="1:14" ht="12.95" customHeight="1" x14ac:dyDescent="0.2">
      <c r="A50" s="111" t="str">
        <f>'SINAPI + BDI'!A64</f>
        <v>7.1</v>
      </c>
      <c r="B50" s="112" t="str">
        <f>'SINAPI + BDI'!C64</f>
        <v>CHAPISCO  APLICADO  EM  ALVENARIA  (SEM  PRESENÇA  DE  VÃOS)  E ESTRUTURAS   DE   CONCRETO   DE   FACHADA,   COM   COLHER   DE PEDREIRO.  ARGAMASSA  TRAÇO  1:3  COM  PREPARO  EM  BETONEIRA 400L. AF_06/2014.</v>
      </c>
      <c r="C50" s="113" t="str">
        <f>'SINAPI + BDI'!D64</f>
        <v>M²</v>
      </c>
      <c r="D50" s="114">
        <f>'SINAPI + BDI'!G64</f>
        <v>7.74</v>
      </c>
      <c r="E50" s="115">
        <f>'SINAPI + BDI'!E64</f>
        <v>146</v>
      </c>
      <c r="F50" s="116"/>
      <c r="G50" s="117">
        <f t="shared" si="10"/>
        <v>0</v>
      </c>
      <c r="H50" s="117">
        <f t="shared" si="11"/>
        <v>146</v>
      </c>
      <c r="I50" s="31">
        <f t="shared" ref="I50:I55" si="24">TRUNC((D50*E50),2)</f>
        <v>1130.04</v>
      </c>
      <c r="J50" s="31">
        <f t="shared" ref="J50:J55" si="25">TRUNC((D50*F50),2)</f>
        <v>0</v>
      </c>
      <c r="K50" s="31">
        <f t="shared" ref="K50:K55" si="26">TRUNC((D50*G50),2)</f>
        <v>0</v>
      </c>
      <c r="L50" s="118">
        <f t="shared" ref="L50:L55" si="27">TRUNC((D50*H50),2)</f>
        <v>1130.04</v>
      </c>
    </row>
    <row r="51" spans="1:14" ht="12.95" customHeight="1" x14ac:dyDescent="0.2">
      <c r="A51" s="111" t="str">
        <f>'SINAPI + BDI'!A65</f>
        <v>7.2</v>
      </c>
      <c r="B51" s="112" t="str">
        <f>'SINAPI + BDI'!C65</f>
        <v>EMBOÇO OU MASSA ÚNICA EM ARGAMASSA TRAÇO 1:2:8, PREPARO MECÂNICO COM BETONEIRA 400 L, APLICADA MANUALMENTE EM PANOS CEGOS DE FACHADA SEM PRESENÇA DE VÃOS), ESPESSURA DE 25 MM. AF_06/2014.</v>
      </c>
      <c r="C51" s="113" t="str">
        <f>'SINAPI + BDI'!D65</f>
        <v>M²</v>
      </c>
      <c r="D51" s="114">
        <f>'SINAPI + BDI'!G65</f>
        <v>41.72</v>
      </c>
      <c r="E51" s="115">
        <f>'SINAPI + BDI'!E65</f>
        <v>146</v>
      </c>
      <c r="F51" s="116"/>
      <c r="G51" s="117">
        <f t="shared" si="10"/>
        <v>0</v>
      </c>
      <c r="H51" s="117">
        <f t="shared" si="11"/>
        <v>146</v>
      </c>
      <c r="I51" s="31">
        <f t="shared" si="24"/>
        <v>6091.12</v>
      </c>
      <c r="J51" s="31">
        <f t="shared" si="25"/>
        <v>0</v>
      </c>
      <c r="K51" s="31">
        <f t="shared" si="26"/>
        <v>0</v>
      </c>
      <c r="L51" s="118">
        <f t="shared" si="27"/>
        <v>6091.12</v>
      </c>
    </row>
    <row r="52" spans="1:14" ht="12.95" customHeight="1" x14ac:dyDescent="0.2">
      <c r="A52" s="111" t="e">
        <f>'SINAPI + BDI'!#REF!</f>
        <v>#REF!</v>
      </c>
      <c r="B52" s="112" t="e">
        <f>'SINAPI + BDI'!#REF!</f>
        <v>#REF!</v>
      </c>
      <c r="C52" s="113" t="e">
        <f>'SINAPI + BDI'!#REF!</f>
        <v>#REF!</v>
      </c>
      <c r="D52" s="114" t="e">
        <f>'SINAPI + BDI'!#REF!</f>
        <v>#REF!</v>
      </c>
      <c r="E52" s="115" t="e">
        <f>'SINAPI + BDI'!#REF!</f>
        <v>#REF!</v>
      </c>
      <c r="F52" s="116">
        <v>109.5001</v>
      </c>
      <c r="G52" s="117">
        <f t="shared" si="10"/>
        <v>109.5001</v>
      </c>
      <c r="H52" s="117" t="e">
        <f t="shared" si="11"/>
        <v>#REF!</v>
      </c>
      <c r="I52" s="31" t="e">
        <f t="shared" si="24"/>
        <v>#REF!</v>
      </c>
      <c r="J52" s="31" t="e">
        <f t="shared" si="25"/>
        <v>#REF!</v>
      </c>
      <c r="K52" s="31" t="e">
        <f t="shared" si="26"/>
        <v>#REF!</v>
      </c>
      <c r="L52" s="118" t="e">
        <f t="shared" si="27"/>
        <v>#REF!</v>
      </c>
    </row>
    <row r="53" spans="1:14" ht="12.95" customHeight="1" x14ac:dyDescent="0.2">
      <c r="A53" s="111" t="e">
        <f>'SINAPI + BDI'!#REF!</f>
        <v>#REF!</v>
      </c>
      <c r="B53" s="112" t="e">
        <f>'SINAPI + BDI'!#REF!</f>
        <v>#REF!</v>
      </c>
      <c r="C53" s="113" t="e">
        <f>'SINAPI + BDI'!#REF!</f>
        <v>#REF!</v>
      </c>
      <c r="D53" s="114" t="e">
        <f>'SINAPI + BDI'!#REF!</f>
        <v>#REF!</v>
      </c>
      <c r="E53" s="115" t="e">
        <f>'SINAPI + BDI'!#REF!</f>
        <v>#REF!</v>
      </c>
      <c r="F53" s="116"/>
      <c r="G53" s="117">
        <f t="shared" si="10"/>
        <v>0</v>
      </c>
      <c r="H53" s="117" t="e">
        <f t="shared" si="11"/>
        <v>#REF!</v>
      </c>
      <c r="I53" s="31" t="e">
        <f t="shared" si="24"/>
        <v>#REF!</v>
      </c>
      <c r="J53" s="31" t="e">
        <f t="shared" si="25"/>
        <v>#REF!</v>
      </c>
      <c r="K53" s="31" t="e">
        <f t="shared" si="26"/>
        <v>#REF!</v>
      </c>
      <c r="L53" s="118" t="e">
        <f t="shared" si="27"/>
        <v>#REF!</v>
      </c>
    </row>
    <row r="54" spans="1:14" ht="12.95" customHeight="1" x14ac:dyDescent="0.2">
      <c r="A54" s="111" t="str">
        <f>'SINAPI + BDI'!A66</f>
        <v>7.3</v>
      </c>
      <c r="B54" s="112" t="str">
        <f>'SINAPI + BDI'!C66</f>
        <v>ATERRO COM AREIA FINA, COMPACTADO MECANICAMENTE, INCLUSIVE AQUISIÇÃO EM DEPÓSITO DE MATERIAL, TRANSPORTE E ESPALHAMENTO MANUAL DO MATERIAL.</v>
      </c>
      <c r="C54" s="113" t="str">
        <f>'SINAPI + BDI'!D66</f>
        <v>M³</v>
      </c>
      <c r="D54" s="114">
        <f>'SINAPI + BDI'!G66</f>
        <v>167.04</v>
      </c>
      <c r="E54" s="115">
        <f>'SINAPI + BDI'!E66</f>
        <v>393.6</v>
      </c>
      <c r="F54" s="116">
        <v>11.25</v>
      </c>
      <c r="G54" s="117">
        <f t="shared" si="10"/>
        <v>11.25</v>
      </c>
      <c r="H54" s="117">
        <f t="shared" si="11"/>
        <v>382.35</v>
      </c>
      <c r="I54" s="31">
        <f t="shared" si="24"/>
        <v>65746.94</v>
      </c>
      <c r="J54" s="31">
        <f t="shared" si="25"/>
        <v>1879.2</v>
      </c>
      <c r="K54" s="31">
        <f t="shared" si="26"/>
        <v>1879.2</v>
      </c>
      <c r="L54" s="118">
        <f t="shared" si="27"/>
        <v>63867.74</v>
      </c>
    </row>
    <row r="55" spans="1:14" ht="12.95" customHeight="1" x14ac:dyDescent="0.2">
      <c r="A55" s="111" t="e">
        <f>'SINAPI + BDI'!#REF!</f>
        <v>#REF!</v>
      </c>
      <c r="B55" s="112" t="e">
        <f>'SINAPI + BDI'!#REF!</f>
        <v>#REF!</v>
      </c>
      <c r="C55" s="113" t="e">
        <f>'SINAPI + BDI'!#REF!</f>
        <v>#REF!</v>
      </c>
      <c r="D55" s="114" t="e">
        <f>'SINAPI + BDI'!#REF!</f>
        <v>#REF!</v>
      </c>
      <c r="E55" s="115" t="e">
        <f>'SINAPI + BDI'!#REF!</f>
        <v>#REF!</v>
      </c>
      <c r="F55" s="116">
        <v>28.130050000000001</v>
      </c>
      <c r="G55" s="117">
        <f t="shared" ref="G55:G68" si="28">F55</f>
        <v>28.130050000000001</v>
      </c>
      <c r="H55" s="117" t="e">
        <f t="shared" ref="H55:H68" si="29">E55-G55</f>
        <v>#REF!</v>
      </c>
      <c r="I55" s="31" t="e">
        <f t="shared" si="24"/>
        <v>#REF!</v>
      </c>
      <c r="J55" s="31" t="e">
        <f t="shared" si="25"/>
        <v>#REF!</v>
      </c>
      <c r="K55" s="31" t="e">
        <f t="shared" si="26"/>
        <v>#REF!</v>
      </c>
      <c r="L55" s="118" t="e">
        <f t="shared" si="27"/>
        <v>#REF!</v>
      </c>
    </row>
    <row r="56" spans="1:14" ht="6.95" customHeight="1" x14ac:dyDescent="0.2">
      <c r="A56" s="111"/>
      <c r="B56" s="112"/>
      <c r="C56" s="113"/>
      <c r="D56" s="114"/>
      <c r="E56" s="115"/>
      <c r="F56" s="116"/>
      <c r="G56" s="117"/>
      <c r="H56" s="117"/>
      <c r="I56" s="31"/>
      <c r="J56" s="31"/>
      <c r="K56" s="31"/>
      <c r="L56" s="118"/>
      <c r="N56" s="119"/>
    </row>
    <row r="57" spans="1:14" ht="12.95" customHeight="1" x14ac:dyDescent="0.2">
      <c r="A57" s="103" t="str">
        <f>'SINAPI + BDI'!A68</f>
        <v>8.0</v>
      </c>
      <c r="B57" s="104" t="str">
        <f>'SINAPI + BDI'!C68</f>
        <v>PINTURA</v>
      </c>
      <c r="C57" s="105"/>
      <c r="D57" s="106"/>
      <c r="E57" s="107"/>
      <c r="F57" s="108"/>
      <c r="G57" s="109"/>
      <c r="H57" s="109"/>
      <c r="I57" s="110">
        <f>SUM(I58:I59)</f>
        <v>4248.6000000000004</v>
      </c>
      <c r="J57" s="110">
        <f>SUM(J58:J59)</f>
        <v>0</v>
      </c>
      <c r="K57" s="110">
        <f>SUM(K58:K59)</f>
        <v>0</v>
      </c>
      <c r="L57" s="110">
        <f t="shared" ref="L57:L64" si="30">I57-K57</f>
        <v>4248.6000000000004</v>
      </c>
    </row>
    <row r="58" spans="1:14" ht="12.95" customHeight="1" x14ac:dyDescent="0.2">
      <c r="A58" s="111" t="str">
        <f>'SINAPI + BDI'!A69</f>
        <v>8.1</v>
      </c>
      <c r="B58" s="112" t="str">
        <f>'SINAPI + BDI'!C69</f>
        <v>FUNDO SELADOR ACRÍLICO, APLICAÇÃO MANUAL EM PAREDE, UMA DEMÃO. AF_04/202</v>
      </c>
      <c r="C58" s="113" t="str">
        <f>'SINAPI + BDI'!D69</f>
        <v>M²</v>
      </c>
      <c r="D58" s="114">
        <f>'SINAPI + BDI'!G69</f>
        <v>4.04</v>
      </c>
      <c r="E58" s="115">
        <f>'SINAPI + BDI'!E69</f>
        <v>146</v>
      </c>
      <c r="F58" s="116"/>
      <c r="G58" s="117">
        <f t="shared" si="28"/>
        <v>0</v>
      </c>
      <c r="H58" s="117">
        <f t="shared" si="29"/>
        <v>146</v>
      </c>
      <c r="I58" s="31">
        <f t="shared" ref="I58:I59" si="31">TRUNC((D58*E58),2)</f>
        <v>589.84</v>
      </c>
      <c r="J58" s="31">
        <f t="shared" ref="J58:J59" si="32">TRUNC((D58*F58),2)</f>
        <v>0</v>
      </c>
      <c r="K58" s="31">
        <f t="shared" ref="K58:K59" si="33">TRUNC((D58*G58),2)</f>
        <v>0</v>
      </c>
      <c r="L58" s="118">
        <f t="shared" ref="L58:L59" si="34">TRUNC((D58*H58),2)</f>
        <v>589.84</v>
      </c>
    </row>
    <row r="59" spans="1:14" ht="12.95" customHeight="1" x14ac:dyDescent="0.2">
      <c r="A59" s="111" t="str">
        <f>'SINAPI + BDI'!A70</f>
        <v>8.2</v>
      </c>
      <c r="B59" s="112" t="str">
        <f>'SINAPI + BDI'!C70</f>
        <v>APLICAÇÃO MANUAL DE PINTURA COM TINTA TEXTURIZADA ACRÍLICA EM PAREDES EXTERNAS DE CASAS, UMA COR. AF_03/2024.</v>
      </c>
      <c r="C59" s="113" t="str">
        <f>'SINAPI + BDI'!D70</f>
        <v>M²</v>
      </c>
      <c r="D59" s="114">
        <f>'SINAPI + BDI'!G70</f>
        <v>25.06</v>
      </c>
      <c r="E59" s="115">
        <f>'SINAPI + BDI'!E70</f>
        <v>146</v>
      </c>
      <c r="F59" s="116"/>
      <c r="G59" s="117">
        <f t="shared" si="28"/>
        <v>0</v>
      </c>
      <c r="H59" s="117">
        <f t="shared" si="29"/>
        <v>146</v>
      </c>
      <c r="I59" s="31">
        <f t="shared" si="31"/>
        <v>3658.76</v>
      </c>
      <c r="J59" s="31">
        <f t="shared" si="32"/>
        <v>0</v>
      </c>
      <c r="K59" s="31">
        <f t="shared" si="33"/>
        <v>0</v>
      </c>
      <c r="L59" s="118">
        <f t="shared" si="34"/>
        <v>3658.76</v>
      </c>
    </row>
    <row r="60" spans="1:14" ht="6.95" customHeight="1" x14ac:dyDescent="0.2">
      <c r="A60" s="111"/>
      <c r="B60" s="112"/>
      <c r="C60" s="113"/>
      <c r="D60" s="114"/>
      <c r="E60" s="115"/>
      <c r="F60" s="116"/>
      <c r="G60" s="117"/>
      <c r="H60" s="117"/>
      <c r="I60" s="31"/>
      <c r="J60" s="31"/>
      <c r="K60" s="31"/>
      <c r="L60" s="118"/>
      <c r="N60" s="119"/>
    </row>
    <row r="61" spans="1:14" ht="12.95" customHeight="1" x14ac:dyDescent="0.2">
      <c r="A61" s="103" t="str">
        <f>'SINAPI + BDI'!A75</f>
        <v>9.0</v>
      </c>
      <c r="B61" s="104" t="str">
        <f>'SINAPI + BDI'!C75</f>
        <v>PAVIMENTAÇÃO</v>
      </c>
      <c r="C61" s="105"/>
      <c r="D61" s="106"/>
      <c r="E61" s="107"/>
      <c r="F61" s="108"/>
      <c r="G61" s="109"/>
      <c r="H61" s="109"/>
      <c r="I61" s="110">
        <f>SUM(I62)</f>
        <v>36584.870000000003</v>
      </c>
      <c r="J61" s="110">
        <f>SUM(J62)</f>
        <v>0</v>
      </c>
      <c r="K61" s="110">
        <f>SUM(K62)</f>
        <v>0</v>
      </c>
      <c r="L61" s="110">
        <f t="shared" si="30"/>
        <v>36584.870000000003</v>
      </c>
    </row>
    <row r="62" spans="1:14" ht="12.95" customHeight="1" x14ac:dyDescent="0.2">
      <c r="A62" s="111" t="str">
        <f>'SINAPI + BDI'!A76</f>
        <v>9.1</v>
      </c>
      <c r="B62" s="112" t="str">
        <f>'SINAPI + BDI'!C76</f>
        <v>EXECUÇÃO DE PASSEIO EM PISO INTERTRAVADO, COM BLOCO RETANGULAR COR NATURAL DE 20 X 10 CM, ESPESSURA  6  CM. AF_12/2015.</v>
      </c>
      <c r="C62" s="113" t="str">
        <f>'SINAPI + BDI'!D76</f>
        <v>M²</v>
      </c>
      <c r="D62" s="114">
        <f>'SINAPI + BDI'!G76</f>
        <v>92.23</v>
      </c>
      <c r="E62" s="115">
        <f>'SINAPI + BDI'!E76</f>
        <v>396.67</v>
      </c>
      <c r="F62" s="116"/>
      <c r="G62" s="117">
        <f t="shared" si="28"/>
        <v>0</v>
      </c>
      <c r="H62" s="117">
        <f t="shared" si="29"/>
        <v>396.67</v>
      </c>
      <c r="I62" s="31">
        <f>TRUNC((D62*E62),2)</f>
        <v>36584.870000000003</v>
      </c>
      <c r="J62" s="31">
        <f>TRUNC((D62*F62),2)</f>
        <v>0</v>
      </c>
      <c r="K62" s="31">
        <f>TRUNC((D62*G62),2)</f>
        <v>0</v>
      </c>
      <c r="L62" s="118">
        <f>TRUNC((D62*H62),2)</f>
        <v>36584.870000000003</v>
      </c>
    </row>
    <row r="63" spans="1:14" ht="6.95" customHeight="1" x14ac:dyDescent="0.2">
      <c r="A63" s="111"/>
      <c r="B63" s="112"/>
      <c r="C63" s="113"/>
      <c r="D63" s="114"/>
      <c r="E63" s="115"/>
      <c r="F63" s="116"/>
      <c r="G63" s="117"/>
      <c r="H63" s="117"/>
      <c r="I63" s="31"/>
      <c r="J63" s="31"/>
      <c r="K63" s="31"/>
      <c r="L63" s="118"/>
      <c r="N63" s="119"/>
    </row>
    <row r="64" spans="1:14" ht="12.95" customHeight="1" x14ac:dyDescent="0.2">
      <c r="A64" s="103" t="str">
        <f>'SINAPI + BDI'!A79</f>
        <v>10.0</v>
      </c>
      <c r="B64" s="104" t="str">
        <f>'SINAPI + BDI'!C79</f>
        <v>SERVIÇOS COMPLEMENTARES</v>
      </c>
      <c r="C64" s="105"/>
      <c r="D64" s="106"/>
      <c r="E64" s="107"/>
      <c r="F64" s="108"/>
      <c r="G64" s="109"/>
      <c r="H64" s="109"/>
      <c r="I64" s="110" t="e">
        <f>SUM(I65:I68)</f>
        <v>#REF!</v>
      </c>
      <c r="J64" s="110" t="e">
        <f>SUM(J65:J68)</f>
        <v>#REF!</v>
      </c>
      <c r="K64" s="110" t="e">
        <f>SUM(K65:K68)</f>
        <v>#REF!</v>
      </c>
      <c r="L64" s="110" t="e">
        <f t="shared" si="30"/>
        <v>#REF!</v>
      </c>
    </row>
    <row r="65" spans="1:12" ht="12.95" customHeight="1" x14ac:dyDescent="0.2">
      <c r="A65" s="111" t="str">
        <f>'SINAPI + BDI'!A84</f>
        <v>10.5</v>
      </c>
      <c r="B65" s="112" t="str">
        <f>'SINAPI + BDI'!C84</f>
        <v>CONFECÇÃO DE TRAVE PARA CAMPO DE FUTEBOL DE AREIA (BEACH SOCCER), EM TUBO DE AÇO GALVANIZADO 4", COM DIMENÇÕES DE 5,00X2,20X1,50 M. REDE INCLUSA.</v>
      </c>
      <c r="C65" s="113" t="str">
        <f>'SINAPI + BDI'!D84</f>
        <v>UND</v>
      </c>
      <c r="D65" s="114">
        <f>'SINAPI + BDI'!G84</f>
        <v>3626.55</v>
      </c>
      <c r="E65" s="115">
        <f>'SINAPI + BDI'!E84</f>
        <v>2</v>
      </c>
      <c r="F65" s="116">
        <v>165.00001</v>
      </c>
      <c r="G65" s="117">
        <f t="shared" si="28"/>
        <v>165.00001</v>
      </c>
      <c r="H65" s="117">
        <f t="shared" si="29"/>
        <v>-163.00001</v>
      </c>
      <c r="I65" s="31">
        <f t="shared" ref="I65:I68" si="35">TRUNC((D65*E65),2)</f>
        <v>7253.1</v>
      </c>
      <c r="J65" s="31">
        <f t="shared" ref="J65:J68" si="36">TRUNC((D65*F65),2)</f>
        <v>598380.78</v>
      </c>
      <c r="K65" s="31">
        <f t="shared" ref="K65:K68" si="37">TRUNC((D65*G65),2)</f>
        <v>598380.78</v>
      </c>
      <c r="L65" s="118">
        <f t="shared" ref="L65:L68" si="38">TRUNC((D65*H65),2)</f>
        <v>-591127.68000000005</v>
      </c>
    </row>
    <row r="66" spans="1:12" ht="12.95" customHeight="1" x14ac:dyDescent="0.2">
      <c r="A66" s="111" t="e">
        <f>'SINAPI + BDI'!#REF!</f>
        <v>#REF!</v>
      </c>
      <c r="B66" s="112" t="e">
        <f>'SINAPI + BDI'!#REF!</f>
        <v>#REF!</v>
      </c>
      <c r="C66" s="113" t="e">
        <f>'SINAPI + BDI'!#REF!</f>
        <v>#REF!</v>
      </c>
      <c r="D66" s="114" t="e">
        <f>'SINAPI + BDI'!#REF!</f>
        <v>#REF!</v>
      </c>
      <c r="E66" s="115" t="e">
        <f>'SINAPI + BDI'!#REF!</f>
        <v>#REF!</v>
      </c>
      <c r="F66" s="116"/>
      <c r="G66" s="117">
        <f t="shared" si="28"/>
        <v>0</v>
      </c>
      <c r="H66" s="117" t="e">
        <f t="shared" si="29"/>
        <v>#REF!</v>
      </c>
      <c r="I66" s="31" t="e">
        <f t="shared" si="35"/>
        <v>#REF!</v>
      </c>
      <c r="J66" s="31" t="e">
        <f t="shared" si="36"/>
        <v>#REF!</v>
      </c>
      <c r="K66" s="31" t="e">
        <f t="shared" si="37"/>
        <v>#REF!</v>
      </c>
      <c r="L66" s="118" t="e">
        <f t="shared" si="38"/>
        <v>#REF!</v>
      </c>
    </row>
    <row r="67" spans="1:12" ht="12.95" customHeight="1" x14ac:dyDescent="0.2">
      <c r="A67" s="111" t="str">
        <f>'SINAPI + BDI'!A85</f>
        <v>10.6</v>
      </c>
      <c r="B67" s="112" t="str">
        <f>'SINAPI + BDI'!C85</f>
        <v>DESMOBILIZAÇÂO DE EQUIPAMENTOS EM CAMINHÃO EQUIPADO COM GUINDASTE.</v>
      </c>
      <c r="C67" s="113" t="str">
        <f>'SINAPI + BDI'!D85</f>
        <v>KM</v>
      </c>
      <c r="D67" s="114">
        <f>'SINAPI + BDI'!G85</f>
        <v>5.27</v>
      </c>
      <c r="E67" s="115">
        <f>'SINAPI + BDI'!E85</f>
        <v>80</v>
      </c>
      <c r="F67" s="116">
        <v>0.5</v>
      </c>
      <c r="G67" s="117">
        <f t="shared" si="28"/>
        <v>0.5</v>
      </c>
      <c r="H67" s="117">
        <f t="shared" si="29"/>
        <v>79.5</v>
      </c>
      <c r="I67" s="31">
        <f t="shared" si="35"/>
        <v>421.6</v>
      </c>
      <c r="J67" s="31">
        <f t="shared" si="36"/>
        <v>2.63</v>
      </c>
      <c r="K67" s="31">
        <f t="shared" si="37"/>
        <v>2.63</v>
      </c>
      <c r="L67" s="118">
        <f t="shared" si="38"/>
        <v>418.96</v>
      </c>
    </row>
    <row r="68" spans="1:12" ht="12.95" customHeight="1" x14ac:dyDescent="0.2">
      <c r="A68" s="111" t="str">
        <f>'SINAPI + BDI'!A86</f>
        <v>10.7</v>
      </c>
      <c r="B68" s="112" t="str">
        <f>'SINAPI + BDI'!C86</f>
        <v>LIMPEZA GERAL.</v>
      </c>
      <c r="C68" s="113" t="str">
        <f>'SINAPI + BDI'!D86</f>
        <v>M²</v>
      </c>
      <c r="D68" s="114">
        <f>'SINAPI + BDI'!G86</f>
        <v>17.66</v>
      </c>
      <c r="E68" s="115">
        <f>'SINAPI + BDI'!E86</f>
        <v>39.659999999999997</v>
      </c>
      <c r="F68" s="116"/>
      <c r="G68" s="117">
        <f t="shared" si="28"/>
        <v>0</v>
      </c>
      <c r="H68" s="117">
        <f t="shared" si="29"/>
        <v>39.659999999999997</v>
      </c>
      <c r="I68" s="31">
        <f t="shared" si="35"/>
        <v>700.39</v>
      </c>
      <c r="J68" s="31">
        <f t="shared" si="36"/>
        <v>0</v>
      </c>
      <c r="K68" s="31">
        <f t="shared" si="37"/>
        <v>0</v>
      </c>
      <c r="L68" s="118">
        <f t="shared" si="38"/>
        <v>700.39</v>
      </c>
    </row>
    <row r="69" spans="1:12" ht="12.95" customHeight="1" x14ac:dyDescent="0.2">
      <c r="A69" s="111"/>
      <c r="B69" s="112"/>
      <c r="C69" s="113"/>
      <c r="D69" s="114"/>
      <c r="E69" s="115"/>
      <c r="F69" s="116"/>
      <c r="G69" s="117"/>
      <c r="H69" s="117"/>
      <c r="I69" s="31"/>
      <c r="J69" s="31"/>
      <c r="K69" s="31"/>
      <c r="L69" s="118"/>
    </row>
    <row r="70" spans="1:12" x14ac:dyDescent="0.2">
      <c r="A70" s="538" t="s">
        <v>254</v>
      </c>
      <c r="B70" s="539"/>
      <c r="C70" s="539"/>
      <c r="D70" s="539"/>
      <c r="E70" s="539"/>
      <c r="F70" s="539"/>
      <c r="G70" s="539"/>
      <c r="H70" s="540"/>
      <c r="I70" s="121" t="e">
        <f>I12+I23+I30+I35+I43+I46+I49+I57+I61+I64</f>
        <v>#REF!</v>
      </c>
      <c r="J70" s="121" t="e">
        <f>J12+J23+J30+J35+J43+J46+J49+J57+J61+J64</f>
        <v>#REF!</v>
      </c>
      <c r="K70" s="121" t="e">
        <f t="shared" ref="K70" si="39">K12+K23+K30+K35+K43+K46+K49+K57+K61+K64</f>
        <v>#REF!</v>
      </c>
      <c r="L70" s="121" t="e">
        <f>I70-K70</f>
        <v>#REF!</v>
      </c>
    </row>
  </sheetData>
  <mergeCells count="31">
    <mergeCell ref="A70:H70"/>
    <mergeCell ref="A9:L9"/>
    <mergeCell ref="A10:A11"/>
    <mergeCell ref="B10:B11"/>
    <mergeCell ref="C10:C11"/>
    <mergeCell ref="D10:D11"/>
    <mergeCell ref="E10:H10"/>
    <mergeCell ref="I10:L10"/>
    <mergeCell ref="C7:E7"/>
    <mergeCell ref="F7:H7"/>
    <mergeCell ref="I7:J7"/>
    <mergeCell ref="K7:L7"/>
    <mergeCell ref="C8:E8"/>
    <mergeCell ref="F8:H8"/>
    <mergeCell ref="I8:J8"/>
    <mergeCell ref="K8:L8"/>
    <mergeCell ref="C6:E6"/>
    <mergeCell ref="F6:H6"/>
    <mergeCell ref="I6:J6"/>
    <mergeCell ref="K6:L6"/>
    <mergeCell ref="A1:A2"/>
    <mergeCell ref="B1:H1"/>
    <mergeCell ref="I1:L3"/>
    <mergeCell ref="B2:H2"/>
    <mergeCell ref="A3:H3"/>
    <mergeCell ref="A4:L4"/>
    <mergeCell ref="A5:B5"/>
    <mergeCell ref="C5:E5"/>
    <mergeCell ref="F5:H5"/>
    <mergeCell ref="I5:J5"/>
    <mergeCell ref="K5:L5"/>
  </mergeCells>
  <pageMargins left="0.39370078740157483" right="0.39370078740157483" top="0.78740157480314965" bottom="0.78740157480314965" header="0" footer="0"/>
  <pageSetup paperSize="9" scale="70" fitToHeight="4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1"/>
  <sheetViews>
    <sheetView zoomScaleNormal="100" zoomScaleSheetLayoutView="130" workbookViewId="0">
      <selection activeCell="K14" sqref="K14"/>
    </sheetView>
  </sheetViews>
  <sheetFormatPr defaultColWidth="9.140625" defaultRowHeight="12.75" x14ac:dyDescent="0.2"/>
  <cols>
    <col min="1" max="1" width="5.140625" style="89" customWidth="1"/>
    <col min="2" max="2" width="46.5703125" style="89" bestFit="1" customWidth="1"/>
    <col min="3" max="3" width="14.28515625" style="89" customWidth="1"/>
    <col min="4" max="4" width="10.42578125" style="89" customWidth="1"/>
    <col min="5" max="5" width="13.7109375" style="89" bestFit="1" customWidth="1"/>
    <col min="6" max="6" width="12.85546875" style="89" customWidth="1"/>
    <col min="7" max="7" width="13.7109375" style="89" bestFit="1" customWidth="1"/>
    <col min="8" max="9" width="12.85546875" style="89" customWidth="1"/>
    <col min="10" max="10" width="5.140625" style="89" customWidth="1"/>
    <col min="11" max="11" width="44.140625" style="89" customWidth="1"/>
    <col min="12" max="12" width="19.28515625" style="89" bestFit="1" customWidth="1"/>
    <col min="13" max="13" width="11" style="89" bestFit="1" customWidth="1"/>
    <col min="14" max="14" width="13" style="89" customWidth="1"/>
    <col min="15" max="15" width="11.140625" style="89" customWidth="1"/>
    <col min="16" max="16" width="12.85546875" style="89" customWidth="1"/>
    <col min="17" max="16384" width="9.140625" style="89"/>
  </cols>
  <sheetData>
    <row r="1" spans="1:11" s="122" customFormat="1" ht="58.5" customHeight="1" x14ac:dyDescent="0.2">
      <c r="A1" s="553"/>
      <c r="B1" s="553"/>
      <c r="C1" s="553"/>
      <c r="D1" s="553"/>
      <c r="E1" s="553"/>
      <c r="F1" s="553"/>
      <c r="G1" s="553"/>
      <c r="H1" s="553"/>
      <c r="I1" s="120"/>
    </row>
    <row r="2" spans="1:11" s="122" customFormat="1" ht="14.1" customHeight="1" x14ac:dyDescent="0.2">
      <c r="A2" s="556" t="str">
        <f>'[4]BDI 2022'!A4:G4</f>
        <v>SERVIÇO: RECUPERAÇÃO DA FACHADA NORTE DO GINÁSIO POLIESPORTIVO.</v>
      </c>
      <c r="B2" s="557"/>
      <c r="C2" s="557"/>
      <c r="D2" s="557"/>
      <c r="E2" s="557"/>
      <c r="F2" s="557"/>
      <c r="G2" s="557"/>
      <c r="H2" s="557"/>
      <c r="I2" s="8"/>
    </row>
    <row r="3" spans="1:11" s="122" customFormat="1" ht="5.0999999999999996" customHeight="1" x14ac:dyDescent="0.2">
      <c r="A3" s="556"/>
      <c r="B3" s="557"/>
      <c r="C3" s="557"/>
      <c r="D3" s="557"/>
      <c r="E3" s="557"/>
      <c r="F3" s="557"/>
      <c r="G3" s="557"/>
      <c r="H3" s="557"/>
      <c r="I3" s="123"/>
    </row>
    <row r="4" spans="1:11" s="122" customFormat="1" ht="14.1" customHeight="1" x14ac:dyDescent="0.2">
      <c r="A4" s="556" t="str">
        <f>'[4]BDI 2022'!A6:G6</f>
        <v>LOCAL DO SERVIÇO: IFRN - CAMPUS CAICÓ/RN.</v>
      </c>
      <c r="B4" s="557"/>
      <c r="C4" s="557"/>
      <c r="D4" s="557"/>
      <c r="E4" s="557"/>
      <c r="F4" s="557"/>
      <c r="G4" s="557"/>
      <c r="H4" s="557"/>
      <c r="I4" s="8"/>
    </row>
    <row r="5" spans="1:11" s="122" customFormat="1" ht="5.0999999999999996" customHeight="1" x14ac:dyDescent="0.2">
      <c r="A5" s="556"/>
      <c r="B5" s="557"/>
      <c r="C5" s="557"/>
      <c r="D5" s="557"/>
      <c r="E5" s="557"/>
      <c r="F5" s="557"/>
      <c r="G5" s="557"/>
      <c r="H5" s="557"/>
      <c r="I5" s="123"/>
    </row>
    <row r="6" spans="1:11" s="122" customFormat="1" ht="14.1" customHeight="1" x14ac:dyDescent="0.2">
      <c r="A6" s="556" t="str">
        <f>'[4]BDI 2022'!A8:G8</f>
        <v>ÁREA CONSTRUÍDA: 637,00 m².</v>
      </c>
      <c r="B6" s="557"/>
      <c r="C6" s="557"/>
      <c r="D6" s="557"/>
      <c r="E6" s="557"/>
      <c r="F6" s="557"/>
      <c r="G6" s="557"/>
      <c r="H6" s="557"/>
      <c r="I6" s="8"/>
    </row>
    <row r="7" spans="1:11" s="122" customFormat="1" ht="14.25" customHeight="1" x14ac:dyDescent="0.2">
      <c r="A7" s="558"/>
      <c r="B7" s="559"/>
      <c r="C7" s="559"/>
      <c r="D7" s="559"/>
      <c r="E7" s="559"/>
      <c r="F7" s="559"/>
      <c r="G7" s="559"/>
      <c r="H7" s="559"/>
      <c r="I7" s="123"/>
    </row>
    <row r="8" spans="1:11" s="122" customFormat="1" ht="21" customHeight="1" x14ac:dyDescent="0.2">
      <c r="A8" s="560" t="s">
        <v>255</v>
      </c>
      <c r="B8" s="561"/>
      <c r="C8" s="561"/>
      <c r="D8" s="561"/>
      <c r="E8" s="561"/>
      <c r="F8" s="561"/>
      <c r="G8" s="561"/>
      <c r="H8" s="561"/>
      <c r="I8" s="123"/>
    </row>
    <row r="9" spans="1:11" s="122" customFormat="1" ht="20.25" customHeight="1" x14ac:dyDescent="0.2">
      <c r="A9" s="562"/>
      <c r="B9" s="562"/>
      <c r="C9" s="562"/>
      <c r="D9" s="562"/>
      <c r="E9" s="562"/>
      <c r="F9" s="562"/>
      <c r="G9" s="562"/>
      <c r="H9" s="562"/>
      <c r="I9" s="124"/>
    </row>
    <row r="10" spans="1:11" x14ac:dyDescent="0.2">
      <c r="A10" s="125" t="s">
        <v>256</v>
      </c>
      <c r="B10" s="126"/>
      <c r="C10" s="126"/>
      <c r="D10" s="127"/>
      <c r="E10" s="126" t="s">
        <v>257</v>
      </c>
      <c r="F10" s="554" t="str">
        <f>'1ª Medição'!$F$5:$H$5</f>
        <v>08/01/2024 - 28/03/2024</v>
      </c>
      <c r="G10" s="554"/>
      <c r="H10" s="555"/>
      <c r="I10" s="87"/>
      <c r="K10" s="122"/>
    </row>
    <row r="11" spans="1:11" x14ac:dyDescent="0.2">
      <c r="A11" s="128" t="s">
        <v>258</v>
      </c>
      <c r="B11" s="129"/>
      <c r="C11" s="130"/>
      <c r="D11" s="131"/>
      <c r="E11" s="130" t="s">
        <v>259</v>
      </c>
      <c r="F11" s="563">
        <f>'1ª Medição'!$F$6:$H$6</f>
        <v>45392</v>
      </c>
      <c r="G11" s="563"/>
      <c r="H11" s="564"/>
      <c r="I11" s="87"/>
      <c r="K11" s="122"/>
    </row>
    <row r="12" spans="1:11" ht="25.5" x14ac:dyDescent="0.2">
      <c r="A12" s="132" t="s">
        <v>8</v>
      </c>
      <c r="B12" s="133" t="s">
        <v>260</v>
      </c>
      <c r="C12" s="133" t="s">
        <v>261</v>
      </c>
      <c r="D12" s="134" t="s">
        <v>10</v>
      </c>
      <c r="E12" s="135" t="s">
        <v>262</v>
      </c>
      <c r="F12" s="136" t="s">
        <v>263</v>
      </c>
      <c r="G12" s="136" t="s">
        <v>264</v>
      </c>
      <c r="H12" s="136" t="s">
        <v>265</v>
      </c>
      <c r="I12" s="137"/>
      <c r="K12" s="122"/>
    </row>
    <row r="13" spans="1:11" x14ac:dyDescent="0.2">
      <c r="A13" s="150" t="str">
        <f>'1ª Medição'!A12</f>
        <v>1.0</v>
      </c>
      <c r="B13" s="152" t="str">
        <f>'1ª Medição'!B12</f>
        <v>SERVIÇOS PRELIMINARES/TÉCNICOS</v>
      </c>
      <c r="C13" s="140" t="e">
        <f>'1ª Medição'!I12</f>
        <v>#REF!</v>
      </c>
      <c r="D13" s="141" t="e">
        <f t="shared" ref="D13:D22" si="0">C13/$C$23</f>
        <v>#REF!</v>
      </c>
      <c r="E13" s="142" t="e">
        <f>'1ª Medição'!J12</f>
        <v>#REF!</v>
      </c>
      <c r="F13" s="143" t="e">
        <f>E13/C13</f>
        <v>#REF!</v>
      </c>
      <c r="G13" s="142" t="e">
        <f>E13</f>
        <v>#REF!</v>
      </c>
      <c r="H13" s="143" t="e">
        <f>G13/C13</f>
        <v>#REF!</v>
      </c>
      <c r="I13" s="144"/>
      <c r="K13" s="122"/>
    </row>
    <row r="14" spans="1:11" x14ac:dyDescent="0.2">
      <c r="A14" s="150" t="str">
        <f>'1ª Medição'!A23</f>
        <v>2.0</v>
      </c>
      <c r="B14" s="152" t="str">
        <f>'1ª Medição'!B23</f>
        <v>INFRAESTRUTURA/FUNDAÇÕES SIMPLES</v>
      </c>
      <c r="C14" s="140" t="e">
        <f>'1ª Medição'!I23</f>
        <v>#REF!</v>
      </c>
      <c r="D14" s="141" t="e">
        <f t="shared" si="0"/>
        <v>#REF!</v>
      </c>
      <c r="E14" s="142" t="e">
        <f>'1ª Medição'!J23</f>
        <v>#REF!</v>
      </c>
      <c r="F14" s="143" t="e">
        <f t="shared" ref="F14:F22" si="1">E14/C14</f>
        <v>#REF!</v>
      </c>
      <c r="G14" s="142" t="e">
        <f t="shared" ref="G14:G22" si="2">E14</f>
        <v>#REF!</v>
      </c>
      <c r="H14" s="143" t="e">
        <f t="shared" ref="H14:H22" si="3">G14/C14</f>
        <v>#REF!</v>
      </c>
      <c r="I14" s="144"/>
      <c r="K14" s="122"/>
    </row>
    <row r="15" spans="1:11" x14ac:dyDescent="0.2">
      <c r="A15" s="150" t="str">
        <f>'1ª Medição'!A30</f>
        <v>3.0</v>
      </c>
      <c r="B15" s="152" t="str">
        <f>'1ª Medição'!B30</f>
        <v>SUPERESTRUTURA</v>
      </c>
      <c r="C15" s="140" t="e">
        <f>'1ª Medição'!I30</f>
        <v>#REF!</v>
      </c>
      <c r="D15" s="141" t="e">
        <f t="shared" si="0"/>
        <v>#REF!</v>
      </c>
      <c r="E15" s="142" t="e">
        <f>'1ª Medição'!J30</f>
        <v>#REF!</v>
      </c>
      <c r="F15" s="143" t="e">
        <f t="shared" si="1"/>
        <v>#REF!</v>
      </c>
      <c r="G15" s="142" t="e">
        <f t="shared" si="2"/>
        <v>#REF!</v>
      </c>
      <c r="H15" s="143" t="e">
        <f t="shared" si="3"/>
        <v>#REF!</v>
      </c>
      <c r="I15" s="144"/>
      <c r="K15" s="122"/>
    </row>
    <row r="16" spans="1:11" x14ac:dyDescent="0.2">
      <c r="A16" s="150" t="e">
        <f>'1ª Medição'!A35</f>
        <v>#REF!</v>
      </c>
      <c r="B16" s="152" t="e">
        <f>'1ª Medição'!B35</f>
        <v>#REF!</v>
      </c>
      <c r="C16" s="140" t="e">
        <f>'1ª Medição'!I35</f>
        <v>#REF!</v>
      </c>
      <c r="D16" s="141" t="e">
        <f t="shared" si="0"/>
        <v>#REF!</v>
      </c>
      <c r="E16" s="142" t="e">
        <f>'1ª Medição'!J35</f>
        <v>#REF!</v>
      </c>
      <c r="F16" s="143" t="e">
        <f t="shared" si="1"/>
        <v>#REF!</v>
      </c>
      <c r="G16" s="142" t="e">
        <f t="shared" si="2"/>
        <v>#REF!</v>
      </c>
      <c r="H16" s="143" t="e">
        <f t="shared" si="3"/>
        <v>#REF!</v>
      </c>
      <c r="I16" s="144"/>
      <c r="K16" s="122"/>
    </row>
    <row r="17" spans="1:11" x14ac:dyDescent="0.2">
      <c r="A17" s="150" t="str">
        <f>'1ª Medição'!A43</f>
        <v>4.0</v>
      </c>
      <c r="B17" s="152" t="str">
        <f>'1ª Medição'!B43</f>
        <v>ALVENARIA DE VEDAÇÃO/DIVISÓRIA</v>
      </c>
      <c r="C17" s="140">
        <f>'1ª Medição'!I43</f>
        <v>7586.16</v>
      </c>
      <c r="D17" s="141" t="e">
        <f t="shared" si="0"/>
        <v>#REF!</v>
      </c>
      <c r="E17" s="142">
        <f>'1ª Medição'!J43</f>
        <v>7586.16</v>
      </c>
      <c r="F17" s="143">
        <f t="shared" si="1"/>
        <v>1</v>
      </c>
      <c r="G17" s="142">
        <f t="shared" si="2"/>
        <v>7586.16</v>
      </c>
      <c r="H17" s="143">
        <f t="shared" si="3"/>
        <v>1</v>
      </c>
      <c r="I17" s="144"/>
      <c r="K17" s="122"/>
    </row>
    <row r="18" spans="1:11" x14ac:dyDescent="0.2">
      <c r="A18" s="150" t="str">
        <f>'1ª Medição'!A46</f>
        <v>5.0</v>
      </c>
      <c r="B18" s="152" t="str">
        <f>'1ª Medição'!B46</f>
        <v>IMPERMEABILIZAÇÃO DE SUPERFÍCIES</v>
      </c>
      <c r="C18" s="140">
        <f>'1ª Medição'!I46</f>
        <v>7428.48</v>
      </c>
      <c r="D18" s="141" t="e">
        <f t="shared" si="0"/>
        <v>#REF!</v>
      </c>
      <c r="E18" s="142">
        <f>'1ª Medição'!J46</f>
        <v>0</v>
      </c>
      <c r="F18" s="143">
        <f t="shared" si="1"/>
        <v>0</v>
      </c>
      <c r="G18" s="142">
        <f t="shared" si="2"/>
        <v>0</v>
      </c>
      <c r="H18" s="143">
        <f t="shared" si="3"/>
        <v>0</v>
      </c>
      <c r="I18" s="144"/>
      <c r="K18" s="122"/>
    </row>
    <row r="19" spans="1:11" x14ac:dyDescent="0.2">
      <c r="A19" s="150" t="str">
        <f>'1ª Medição'!A49</f>
        <v>7.0</v>
      </c>
      <c r="B19" s="152" t="str">
        <f>'1ª Medição'!B49</f>
        <v>REVESTIMENTOS</v>
      </c>
      <c r="C19" s="140" t="e">
        <f>'1ª Medição'!I49</f>
        <v>#REF!</v>
      </c>
      <c r="D19" s="141" t="e">
        <f t="shared" si="0"/>
        <v>#REF!</v>
      </c>
      <c r="E19" s="142" t="e">
        <f>'1ª Medição'!J49</f>
        <v>#REF!</v>
      </c>
      <c r="F19" s="143" t="e">
        <f t="shared" si="1"/>
        <v>#REF!</v>
      </c>
      <c r="G19" s="142" t="e">
        <f t="shared" si="2"/>
        <v>#REF!</v>
      </c>
      <c r="H19" s="143" t="e">
        <f t="shared" si="3"/>
        <v>#REF!</v>
      </c>
      <c r="I19" s="144"/>
      <c r="K19" s="122"/>
    </row>
    <row r="20" spans="1:11" x14ac:dyDescent="0.2">
      <c r="A20" s="150" t="str">
        <f>'1ª Medição'!A57</f>
        <v>8.0</v>
      </c>
      <c r="B20" s="152" t="str">
        <f>'1ª Medição'!B57</f>
        <v>PINTURA</v>
      </c>
      <c r="C20" s="140">
        <f>'1ª Medição'!I57</f>
        <v>4248.6000000000004</v>
      </c>
      <c r="D20" s="141" t="e">
        <f t="shared" si="0"/>
        <v>#REF!</v>
      </c>
      <c r="E20" s="142">
        <f>'1ª Medição'!J57</f>
        <v>0</v>
      </c>
      <c r="F20" s="143">
        <f t="shared" si="1"/>
        <v>0</v>
      </c>
      <c r="G20" s="142">
        <f t="shared" si="2"/>
        <v>0</v>
      </c>
      <c r="H20" s="143">
        <f t="shared" si="3"/>
        <v>0</v>
      </c>
      <c r="I20" s="144"/>
      <c r="K20" s="122"/>
    </row>
    <row r="21" spans="1:11" x14ac:dyDescent="0.2">
      <c r="A21" s="150" t="str">
        <f>'1ª Medição'!A61</f>
        <v>9.0</v>
      </c>
      <c r="B21" s="152" t="str">
        <f>'1ª Medição'!B61</f>
        <v>PAVIMENTAÇÃO</v>
      </c>
      <c r="C21" s="140">
        <f>'1ª Medição'!I61</f>
        <v>36584.870000000003</v>
      </c>
      <c r="D21" s="141" t="e">
        <f t="shared" si="0"/>
        <v>#REF!</v>
      </c>
      <c r="E21" s="142">
        <f>'1ª Medição'!J61</f>
        <v>0</v>
      </c>
      <c r="F21" s="143">
        <f t="shared" ref="F21" si="4">E21/C21</f>
        <v>0</v>
      </c>
      <c r="G21" s="142">
        <f t="shared" ref="G21" si="5">E21</f>
        <v>0</v>
      </c>
      <c r="H21" s="143">
        <f t="shared" ref="H21" si="6">G21/C21</f>
        <v>0</v>
      </c>
      <c r="I21" s="144"/>
      <c r="K21" s="122"/>
    </row>
    <row r="22" spans="1:11" x14ac:dyDescent="0.2">
      <c r="A22" s="150" t="str">
        <f>'1ª Medição'!A64</f>
        <v>10.0</v>
      </c>
      <c r="B22" s="152" t="str">
        <f>'1ª Medição'!B64</f>
        <v>SERVIÇOS COMPLEMENTARES</v>
      </c>
      <c r="C22" s="140" t="e">
        <f>'1ª Medição'!I64</f>
        <v>#REF!</v>
      </c>
      <c r="D22" s="141" t="e">
        <f t="shared" si="0"/>
        <v>#REF!</v>
      </c>
      <c r="E22" s="142" t="e">
        <f>'1ª Medição'!J64</f>
        <v>#REF!</v>
      </c>
      <c r="F22" s="143" t="e">
        <f t="shared" si="1"/>
        <v>#REF!</v>
      </c>
      <c r="G22" s="142" t="e">
        <f t="shared" si="2"/>
        <v>#REF!</v>
      </c>
      <c r="H22" s="143" t="e">
        <f t="shared" si="3"/>
        <v>#REF!</v>
      </c>
      <c r="I22" s="144"/>
      <c r="K22" s="122"/>
    </row>
    <row r="23" spans="1:11" x14ac:dyDescent="0.2">
      <c r="A23" s="541" t="s">
        <v>266</v>
      </c>
      <c r="B23" s="543"/>
      <c r="C23" s="145" t="e">
        <f>SUM(C13:C22)</f>
        <v>#REF!</v>
      </c>
      <c r="D23" s="146" t="e">
        <f>SUM(D13:D22)</f>
        <v>#REF!</v>
      </c>
      <c r="E23" s="147" t="e">
        <f>SUM(E13:E22)</f>
        <v>#REF!</v>
      </c>
      <c r="F23" s="148" t="e">
        <f>E23/C23</f>
        <v>#REF!</v>
      </c>
      <c r="G23" s="147" t="e">
        <f>SUM(G13:G22)</f>
        <v>#REF!</v>
      </c>
      <c r="H23" s="149" t="e">
        <f>SUM(G23)/C23</f>
        <v>#REF!</v>
      </c>
      <c r="K23" s="122"/>
    </row>
    <row r="24" spans="1:11" s="122" customFormat="1" ht="20.100000000000001" customHeight="1" x14ac:dyDescent="0.2">
      <c r="A24" s="553"/>
      <c r="B24" s="553"/>
      <c r="C24" s="553"/>
      <c r="D24" s="553"/>
      <c r="E24" s="553"/>
      <c r="F24" s="553"/>
      <c r="G24" s="553"/>
      <c r="H24" s="553"/>
      <c r="I24" s="120"/>
    </row>
    <row r="25" spans="1:11" x14ac:dyDescent="0.2">
      <c r="A25" s="125" t="s">
        <v>256</v>
      </c>
      <c r="B25" s="126"/>
      <c r="C25" s="126"/>
      <c r="D25" s="127"/>
      <c r="E25" s="126" t="s">
        <v>257</v>
      </c>
      <c r="F25" s="554" t="e">
        <f>#REF!</f>
        <v>#REF!</v>
      </c>
      <c r="G25" s="554"/>
      <c r="H25" s="555"/>
      <c r="K25" s="122"/>
    </row>
    <row r="26" spans="1:11" x14ac:dyDescent="0.2">
      <c r="A26" s="128" t="s">
        <v>267</v>
      </c>
      <c r="B26" s="129"/>
      <c r="C26" s="130"/>
      <c r="D26" s="131"/>
      <c r="E26" s="130" t="s">
        <v>259</v>
      </c>
      <c r="F26" s="563" t="e">
        <f>#REF!</f>
        <v>#REF!</v>
      </c>
      <c r="G26" s="563"/>
      <c r="H26" s="564"/>
      <c r="K26" s="122"/>
    </row>
    <row r="27" spans="1:11" ht="25.5" x14ac:dyDescent="0.2">
      <c r="A27" s="132" t="s">
        <v>8</v>
      </c>
      <c r="B27" s="133" t="s">
        <v>260</v>
      </c>
      <c r="C27" s="133" t="s">
        <v>261</v>
      </c>
      <c r="D27" s="134" t="s">
        <v>10</v>
      </c>
      <c r="E27" s="135" t="s">
        <v>268</v>
      </c>
      <c r="F27" s="136" t="s">
        <v>269</v>
      </c>
      <c r="G27" s="136" t="s">
        <v>264</v>
      </c>
      <c r="H27" s="136" t="s">
        <v>265</v>
      </c>
      <c r="K27" s="122"/>
    </row>
    <row r="28" spans="1:11" x14ac:dyDescent="0.2">
      <c r="A28" s="138" t="str">
        <f t="shared" ref="A28:C35" si="7">A13</f>
        <v>1.0</v>
      </c>
      <c r="B28" s="139" t="str">
        <f t="shared" si="7"/>
        <v>SERVIÇOS PRELIMINARES/TÉCNICOS</v>
      </c>
      <c r="C28" s="140" t="e">
        <f t="shared" si="7"/>
        <v>#REF!</v>
      </c>
      <c r="D28" s="141" t="e">
        <f>C28/$C$37</f>
        <v>#REF!</v>
      </c>
      <c r="E28" s="142">
        <f>'[4]2ª Medição'!$J$12</f>
        <v>0</v>
      </c>
      <c r="F28" s="143" t="e">
        <f>E28/C28</f>
        <v>#REF!</v>
      </c>
      <c r="G28" s="142" t="e">
        <f t="shared" ref="G28:G35" si="8">E28+G13</f>
        <v>#REF!</v>
      </c>
      <c r="H28" s="143" t="e">
        <f>G28/C28</f>
        <v>#REF!</v>
      </c>
      <c r="K28" s="122"/>
    </row>
    <row r="29" spans="1:11" x14ac:dyDescent="0.2">
      <c r="A29" s="138" t="str">
        <f t="shared" si="7"/>
        <v>2.0</v>
      </c>
      <c r="B29" s="139" t="str">
        <f t="shared" si="7"/>
        <v>INFRAESTRUTURA/FUNDAÇÕES SIMPLES</v>
      </c>
      <c r="C29" s="140" t="e">
        <f t="shared" si="7"/>
        <v>#REF!</v>
      </c>
      <c r="D29" s="141" t="e">
        <f t="shared" ref="D29:D36" si="9">C29/$C$37</f>
        <v>#REF!</v>
      </c>
      <c r="E29" s="142">
        <f>'[4]2ª Medição'!$J$15</f>
        <v>4460.9895838919756</v>
      </c>
      <c r="F29" s="143" t="e">
        <f t="shared" ref="F29:F36" si="10">E29/C29</f>
        <v>#REF!</v>
      </c>
      <c r="G29" s="142" t="e">
        <f t="shared" si="8"/>
        <v>#REF!</v>
      </c>
      <c r="H29" s="143" t="e">
        <f>G29/C29</f>
        <v>#REF!</v>
      </c>
      <c r="K29" s="122"/>
    </row>
    <row r="30" spans="1:11" x14ac:dyDescent="0.2">
      <c r="A30" s="138" t="str">
        <f t="shared" si="7"/>
        <v>3.0</v>
      </c>
      <c r="B30" s="139" t="str">
        <f t="shared" si="7"/>
        <v>SUPERESTRUTURA</v>
      </c>
      <c r="C30" s="140" t="e">
        <f t="shared" si="7"/>
        <v>#REF!</v>
      </c>
      <c r="D30" s="141" t="e">
        <f t="shared" si="9"/>
        <v>#REF!</v>
      </c>
      <c r="E30" s="142">
        <f>'[4]2ª Medição'!$J$26</f>
        <v>1905.2423412006531</v>
      </c>
      <c r="F30" s="143" t="e">
        <f t="shared" si="10"/>
        <v>#REF!</v>
      </c>
      <c r="G30" s="142" t="e">
        <f t="shared" si="8"/>
        <v>#REF!</v>
      </c>
      <c r="H30" s="143" t="e">
        <f t="shared" ref="H30:H36" si="11">G30/C30</f>
        <v>#REF!</v>
      </c>
      <c r="K30" s="122"/>
    </row>
    <row r="31" spans="1:11" x14ac:dyDescent="0.2">
      <c r="A31" s="138" t="e">
        <f t="shared" si="7"/>
        <v>#REF!</v>
      </c>
      <c r="B31" s="139" t="e">
        <f t="shared" si="7"/>
        <v>#REF!</v>
      </c>
      <c r="C31" s="140" t="e">
        <f t="shared" si="7"/>
        <v>#REF!</v>
      </c>
      <c r="D31" s="141" t="e">
        <f t="shared" si="9"/>
        <v>#REF!</v>
      </c>
      <c r="E31" s="142">
        <f>'[4]2ª Medição'!$J$31</f>
        <v>3211.762308019222</v>
      </c>
      <c r="F31" s="143" t="e">
        <f t="shared" si="10"/>
        <v>#REF!</v>
      </c>
      <c r="G31" s="142" t="e">
        <f t="shared" si="8"/>
        <v>#REF!</v>
      </c>
      <c r="H31" s="143" t="e">
        <f t="shared" si="11"/>
        <v>#REF!</v>
      </c>
      <c r="K31" s="122"/>
    </row>
    <row r="32" spans="1:11" x14ac:dyDescent="0.2">
      <c r="A32" s="138" t="str">
        <f t="shared" si="7"/>
        <v>4.0</v>
      </c>
      <c r="B32" s="139" t="str">
        <f t="shared" si="7"/>
        <v>ALVENARIA DE VEDAÇÃO/DIVISÓRIA</v>
      </c>
      <c r="C32" s="140">
        <f t="shared" si="7"/>
        <v>7586.16</v>
      </c>
      <c r="D32" s="141" t="e">
        <f t="shared" si="9"/>
        <v>#REF!</v>
      </c>
      <c r="E32" s="142">
        <f>'[4]2ª Medição'!$J$37</f>
        <v>73417.83845826477</v>
      </c>
      <c r="F32" s="143">
        <f t="shared" si="10"/>
        <v>9.6778658053962445</v>
      </c>
      <c r="G32" s="142">
        <f t="shared" si="8"/>
        <v>81003.998458264774</v>
      </c>
      <c r="H32" s="143">
        <f t="shared" si="11"/>
        <v>10.677865805396245</v>
      </c>
      <c r="K32" s="122"/>
    </row>
    <row r="33" spans="1:11" x14ac:dyDescent="0.2">
      <c r="A33" s="138" t="str">
        <f t="shared" si="7"/>
        <v>5.0</v>
      </c>
      <c r="B33" s="139" t="str">
        <f t="shared" si="7"/>
        <v>IMPERMEABILIZAÇÃO DE SUPERFÍCIES</v>
      </c>
      <c r="C33" s="140">
        <f t="shared" si="7"/>
        <v>7428.48</v>
      </c>
      <c r="D33" s="141" t="e">
        <f t="shared" si="9"/>
        <v>#REF!</v>
      </c>
      <c r="E33" s="142">
        <f>'[4]2ª Medição'!$J$41</f>
        <v>5560.4282396427134</v>
      </c>
      <c r="F33" s="143">
        <f t="shared" si="10"/>
        <v>0.74852839876296551</v>
      </c>
      <c r="G33" s="142">
        <f t="shared" si="8"/>
        <v>5560.4282396427134</v>
      </c>
      <c r="H33" s="143">
        <f t="shared" si="11"/>
        <v>0.74852839876296551</v>
      </c>
      <c r="K33" s="122"/>
    </row>
    <row r="34" spans="1:11" x14ac:dyDescent="0.2">
      <c r="A34" s="138" t="str">
        <f t="shared" si="7"/>
        <v>7.0</v>
      </c>
      <c r="B34" s="139" t="str">
        <f t="shared" si="7"/>
        <v>REVESTIMENTOS</v>
      </c>
      <c r="C34" s="140" t="e">
        <f t="shared" si="7"/>
        <v>#REF!</v>
      </c>
      <c r="D34" s="141" t="e">
        <f t="shared" si="9"/>
        <v>#REF!</v>
      </c>
      <c r="E34" s="142">
        <f>'[4]2ª Medição'!$J$45</f>
        <v>0</v>
      </c>
      <c r="F34" s="143" t="e">
        <f t="shared" si="10"/>
        <v>#REF!</v>
      </c>
      <c r="G34" s="142" t="e">
        <f t="shared" si="8"/>
        <v>#REF!</v>
      </c>
      <c r="H34" s="143" t="e">
        <f t="shared" si="11"/>
        <v>#REF!</v>
      </c>
      <c r="K34" s="122"/>
    </row>
    <row r="35" spans="1:11" x14ac:dyDescent="0.2">
      <c r="A35" s="138" t="str">
        <f t="shared" si="7"/>
        <v>8.0</v>
      </c>
      <c r="B35" s="139" t="str">
        <f t="shared" si="7"/>
        <v>PINTURA</v>
      </c>
      <c r="C35" s="140">
        <f t="shared" si="7"/>
        <v>4248.6000000000004</v>
      </c>
      <c r="D35" s="141" t="e">
        <f t="shared" si="9"/>
        <v>#REF!</v>
      </c>
      <c r="E35" s="142">
        <f>'[4]2ª Medição'!$J$51</f>
        <v>0</v>
      </c>
      <c r="F35" s="143">
        <f t="shared" si="10"/>
        <v>0</v>
      </c>
      <c r="G35" s="142">
        <f t="shared" si="8"/>
        <v>0</v>
      </c>
      <c r="H35" s="143">
        <f t="shared" si="11"/>
        <v>0</v>
      </c>
      <c r="K35" s="122"/>
    </row>
    <row r="36" spans="1:11" x14ac:dyDescent="0.2">
      <c r="A36" s="138" t="str">
        <f t="shared" ref="A36:C36" si="12">A22</f>
        <v>10.0</v>
      </c>
      <c r="B36" s="139" t="str">
        <f t="shared" si="12"/>
        <v>SERVIÇOS COMPLEMENTARES</v>
      </c>
      <c r="C36" s="140" t="e">
        <f t="shared" si="12"/>
        <v>#REF!</v>
      </c>
      <c r="D36" s="141" t="e">
        <f t="shared" si="9"/>
        <v>#REF!</v>
      </c>
      <c r="E36" s="142">
        <f>'[4]2ª Medição'!$J$56</f>
        <v>320.44446792670595</v>
      </c>
      <c r="F36" s="143" t="e">
        <f t="shared" si="10"/>
        <v>#REF!</v>
      </c>
      <c r="G36" s="142" t="e">
        <f t="shared" ref="G36" si="13">E36+G22</f>
        <v>#REF!</v>
      </c>
      <c r="H36" s="143" t="e">
        <f t="shared" si="11"/>
        <v>#REF!</v>
      </c>
      <c r="K36" s="122"/>
    </row>
    <row r="37" spans="1:11" x14ac:dyDescent="0.2">
      <c r="A37" s="541" t="s">
        <v>266</v>
      </c>
      <c r="B37" s="543"/>
      <c r="C37" s="145" t="e">
        <f>SUM(C28:C36)</f>
        <v>#REF!</v>
      </c>
      <c r="D37" s="146" t="e">
        <f>SUM(D28:D36)</f>
        <v>#REF!</v>
      </c>
      <c r="E37" s="147">
        <f>SUM(E28:E36)</f>
        <v>88876.70539894604</v>
      </c>
      <c r="F37" s="148" t="e">
        <f>E37/C37</f>
        <v>#REF!</v>
      </c>
      <c r="G37" s="147" t="e">
        <f>E37+G23</f>
        <v>#REF!</v>
      </c>
      <c r="H37" s="149" t="e">
        <f>SUM(G37)/C37</f>
        <v>#REF!</v>
      </c>
      <c r="K37" s="122"/>
    </row>
    <row r="38" spans="1:11" x14ac:dyDescent="0.2">
      <c r="K38" s="122"/>
    </row>
    <row r="39" spans="1:11" x14ac:dyDescent="0.2">
      <c r="A39" s="125" t="s">
        <v>256</v>
      </c>
      <c r="B39" s="126"/>
      <c r="C39" s="126"/>
      <c r="D39" s="127"/>
      <c r="E39" s="126" t="s">
        <v>257</v>
      </c>
      <c r="F39" s="554" t="str">
        <f>'[4]3ª Medição'!F5:H5</f>
        <v>16/01/2023 - 16/02/2023</v>
      </c>
      <c r="G39" s="554"/>
      <c r="H39" s="555"/>
      <c r="K39" s="122"/>
    </row>
    <row r="40" spans="1:11" x14ac:dyDescent="0.2">
      <c r="A40" s="128" t="s">
        <v>270</v>
      </c>
      <c r="B40" s="129"/>
      <c r="C40" s="130"/>
      <c r="D40" s="131"/>
      <c r="E40" s="130" t="s">
        <v>259</v>
      </c>
      <c r="F40" s="563">
        <f>'[4]3ª Medição'!F6:H6</f>
        <v>44985</v>
      </c>
      <c r="G40" s="563"/>
      <c r="H40" s="564"/>
      <c r="K40" s="122"/>
    </row>
    <row r="41" spans="1:11" ht="25.5" x14ac:dyDescent="0.2">
      <c r="A41" s="132" t="s">
        <v>8</v>
      </c>
      <c r="B41" s="133" t="s">
        <v>260</v>
      </c>
      <c r="C41" s="133" t="s">
        <v>261</v>
      </c>
      <c r="D41" s="134" t="s">
        <v>10</v>
      </c>
      <c r="E41" s="135" t="s">
        <v>271</v>
      </c>
      <c r="F41" s="136" t="s">
        <v>272</v>
      </c>
      <c r="G41" s="136" t="s">
        <v>264</v>
      </c>
      <c r="H41" s="136" t="s">
        <v>265</v>
      </c>
      <c r="K41" s="122"/>
    </row>
    <row r="42" spans="1:11" x14ac:dyDescent="0.2">
      <c r="A42" s="138" t="str">
        <f t="shared" ref="A42:C50" si="14">A28</f>
        <v>1.0</v>
      </c>
      <c r="B42" s="139" t="str">
        <f t="shared" si="14"/>
        <v>SERVIÇOS PRELIMINARES/TÉCNICOS</v>
      </c>
      <c r="C42" s="140" t="e">
        <f t="shared" si="14"/>
        <v>#REF!</v>
      </c>
      <c r="D42" s="141" t="e">
        <f>C42/$C$51</f>
        <v>#REF!</v>
      </c>
      <c r="E42" s="142">
        <f>'[4]3ª Medição'!$J$12</f>
        <v>0</v>
      </c>
      <c r="F42" s="143" t="e">
        <f>E42/C42</f>
        <v>#REF!</v>
      </c>
      <c r="G42" s="142" t="e">
        <f>E42+G28</f>
        <v>#REF!</v>
      </c>
      <c r="H42" s="143" t="e">
        <f>G42/C42</f>
        <v>#REF!</v>
      </c>
      <c r="K42" s="122"/>
    </row>
    <row r="43" spans="1:11" x14ac:dyDescent="0.2">
      <c r="A43" s="138" t="str">
        <f t="shared" si="14"/>
        <v>2.0</v>
      </c>
      <c r="B43" s="139" t="str">
        <f t="shared" si="14"/>
        <v>INFRAESTRUTURA/FUNDAÇÕES SIMPLES</v>
      </c>
      <c r="C43" s="140" t="e">
        <f t="shared" si="14"/>
        <v>#REF!</v>
      </c>
      <c r="D43" s="141" t="e">
        <f t="shared" ref="D43:D50" si="15">C43/$C$51</f>
        <v>#REF!</v>
      </c>
      <c r="E43" s="142">
        <f>'[4]3ª Medição'!$J$15</f>
        <v>4252.9923375124145</v>
      </c>
      <c r="F43" s="143" t="e">
        <f t="shared" ref="F43:F50" si="16">E43/C43</f>
        <v>#REF!</v>
      </c>
      <c r="G43" s="142" t="e">
        <f>E43+G29</f>
        <v>#REF!</v>
      </c>
      <c r="H43" s="143" t="e">
        <f>G43/C43</f>
        <v>#REF!</v>
      </c>
      <c r="K43" s="122"/>
    </row>
    <row r="44" spans="1:11" x14ac:dyDescent="0.2">
      <c r="A44" s="138" t="str">
        <f t="shared" si="14"/>
        <v>3.0</v>
      </c>
      <c r="B44" s="139" t="str">
        <f t="shared" si="14"/>
        <v>SUPERESTRUTURA</v>
      </c>
      <c r="C44" s="140" t="e">
        <f t="shared" si="14"/>
        <v>#REF!</v>
      </c>
      <c r="D44" s="141" t="e">
        <f t="shared" si="15"/>
        <v>#REF!</v>
      </c>
      <c r="E44" s="142">
        <f>'[4]3ª Medição'!$J$26</f>
        <v>0</v>
      </c>
      <c r="F44" s="143" t="e">
        <f t="shared" si="16"/>
        <v>#REF!</v>
      </c>
      <c r="G44" s="142" t="e">
        <f t="shared" ref="G44:G50" si="17">E44+G30</f>
        <v>#REF!</v>
      </c>
      <c r="H44" s="143" t="e">
        <f t="shared" ref="H44:H50" si="18">G44/C44</f>
        <v>#REF!</v>
      </c>
      <c r="K44" s="122"/>
    </row>
    <row r="45" spans="1:11" x14ac:dyDescent="0.2">
      <c r="A45" s="138" t="e">
        <f t="shared" si="14"/>
        <v>#REF!</v>
      </c>
      <c r="B45" s="139" t="e">
        <f t="shared" si="14"/>
        <v>#REF!</v>
      </c>
      <c r="C45" s="140" t="e">
        <f t="shared" si="14"/>
        <v>#REF!</v>
      </c>
      <c r="D45" s="141" t="e">
        <f t="shared" si="15"/>
        <v>#REF!</v>
      </c>
      <c r="E45" s="142">
        <f>'[4]3ª Medição'!$J$31</f>
        <v>9904.3249246082851</v>
      </c>
      <c r="F45" s="143" t="e">
        <f t="shared" si="16"/>
        <v>#REF!</v>
      </c>
      <c r="G45" s="142" t="e">
        <f t="shared" si="17"/>
        <v>#REF!</v>
      </c>
      <c r="H45" s="143" t="e">
        <f t="shared" si="18"/>
        <v>#REF!</v>
      </c>
      <c r="K45" s="122"/>
    </row>
    <row r="46" spans="1:11" x14ac:dyDescent="0.2">
      <c r="A46" s="138" t="str">
        <f t="shared" si="14"/>
        <v>4.0</v>
      </c>
      <c r="B46" s="139" t="str">
        <f t="shared" si="14"/>
        <v>ALVENARIA DE VEDAÇÃO/DIVISÓRIA</v>
      </c>
      <c r="C46" s="140">
        <f t="shared" si="14"/>
        <v>7586.16</v>
      </c>
      <c r="D46" s="141" t="e">
        <f t="shared" si="15"/>
        <v>#REF!</v>
      </c>
      <c r="E46" s="142">
        <f>'[4]3ª Medição'!$J$37</f>
        <v>53010.234968940364</v>
      </c>
      <c r="F46" s="143">
        <f t="shared" si="16"/>
        <v>6.9877559883973399</v>
      </c>
      <c r="G46" s="142">
        <f t="shared" si="17"/>
        <v>134014.23342720512</v>
      </c>
      <c r="H46" s="143">
        <f t="shared" si="18"/>
        <v>17.665621793793584</v>
      </c>
      <c r="K46" s="122"/>
    </row>
    <row r="47" spans="1:11" x14ac:dyDescent="0.2">
      <c r="A47" s="138" t="str">
        <f t="shared" si="14"/>
        <v>5.0</v>
      </c>
      <c r="B47" s="139" t="str">
        <f t="shared" si="14"/>
        <v>IMPERMEABILIZAÇÃO DE SUPERFÍCIES</v>
      </c>
      <c r="C47" s="140">
        <f t="shared" si="14"/>
        <v>7428.48</v>
      </c>
      <c r="D47" s="141" t="e">
        <f t="shared" si="15"/>
        <v>#REF!</v>
      </c>
      <c r="E47" s="142">
        <f>'[4]3ª Medição'!$J$41</f>
        <v>2173.3800514610834</v>
      </c>
      <c r="F47" s="143">
        <f t="shared" si="16"/>
        <v>0.29257399245351451</v>
      </c>
      <c r="G47" s="142">
        <f t="shared" si="17"/>
        <v>7733.8082911037964</v>
      </c>
      <c r="H47" s="143">
        <f t="shared" si="18"/>
        <v>1.0411023912164798</v>
      </c>
      <c r="K47" s="122"/>
    </row>
    <row r="48" spans="1:11" x14ac:dyDescent="0.2">
      <c r="A48" s="138" t="str">
        <f t="shared" si="14"/>
        <v>7.0</v>
      </c>
      <c r="B48" s="139" t="str">
        <f t="shared" si="14"/>
        <v>REVESTIMENTOS</v>
      </c>
      <c r="C48" s="140" t="e">
        <f t="shared" si="14"/>
        <v>#REF!</v>
      </c>
      <c r="D48" s="141" t="e">
        <f t="shared" si="15"/>
        <v>#REF!</v>
      </c>
      <c r="E48" s="142">
        <f>'[4]3ª Medição'!$J$45</f>
        <v>0</v>
      </c>
      <c r="F48" s="143" t="e">
        <f t="shared" si="16"/>
        <v>#REF!</v>
      </c>
      <c r="G48" s="142" t="e">
        <f t="shared" si="17"/>
        <v>#REF!</v>
      </c>
      <c r="H48" s="143" t="e">
        <f t="shared" si="18"/>
        <v>#REF!</v>
      </c>
      <c r="K48" s="122"/>
    </row>
    <row r="49" spans="1:11" x14ac:dyDescent="0.2">
      <c r="A49" s="138" t="str">
        <f t="shared" si="14"/>
        <v>8.0</v>
      </c>
      <c r="B49" s="139" t="str">
        <f t="shared" si="14"/>
        <v>PINTURA</v>
      </c>
      <c r="C49" s="140">
        <f t="shared" si="14"/>
        <v>4248.6000000000004</v>
      </c>
      <c r="D49" s="141" t="e">
        <f t="shared" si="15"/>
        <v>#REF!</v>
      </c>
      <c r="E49" s="142">
        <f>'[4]3ª Medição'!$J$51</f>
        <v>0</v>
      </c>
      <c r="F49" s="143">
        <f t="shared" si="16"/>
        <v>0</v>
      </c>
      <c r="G49" s="142">
        <f t="shared" si="17"/>
        <v>0</v>
      </c>
      <c r="H49" s="143">
        <f t="shared" si="18"/>
        <v>0</v>
      </c>
      <c r="K49" s="122"/>
    </row>
    <row r="50" spans="1:11" x14ac:dyDescent="0.2">
      <c r="A50" s="138" t="str">
        <f t="shared" si="14"/>
        <v>10.0</v>
      </c>
      <c r="B50" s="139" t="str">
        <f t="shared" si="14"/>
        <v>SERVIÇOS COMPLEMENTARES</v>
      </c>
      <c r="C50" s="140" t="e">
        <f t="shared" si="14"/>
        <v>#REF!</v>
      </c>
      <c r="D50" s="141" t="e">
        <f t="shared" si="15"/>
        <v>#REF!</v>
      </c>
      <c r="E50" s="142">
        <f>'[4]3ª Medição'!$J$56</f>
        <v>0</v>
      </c>
      <c r="F50" s="143" t="e">
        <f t="shared" si="16"/>
        <v>#REF!</v>
      </c>
      <c r="G50" s="142" t="e">
        <f t="shared" si="17"/>
        <v>#REF!</v>
      </c>
      <c r="H50" s="143" t="e">
        <f t="shared" si="18"/>
        <v>#REF!</v>
      </c>
      <c r="K50" s="122"/>
    </row>
    <row r="51" spans="1:11" x14ac:dyDescent="0.2">
      <c r="A51" s="541" t="s">
        <v>266</v>
      </c>
      <c r="B51" s="543"/>
      <c r="C51" s="145" t="e">
        <f>SUM(C42:C50)</f>
        <v>#REF!</v>
      </c>
      <c r="D51" s="146" t="e">
        <f>SUM(D42:D50)</f>
        <v>#REF!</v>
      </c>
      <c r="E51" s="147">
        <f>SUM(E42:E50)</f>
        <v>69340.932282522146</v>
      </c>
      <c r="F51" s="148" t="e">
        <f>E51/C51</f>
        <v>#REF!</v>
      </c>
      <c r="G51" s="147" t="e">
        <f>E51+G37</f>
        <v>#REF!</v>
      </c>
      <c r="H51" s="149" t="e">
        <f>SUM(G51)/C51</f>
        <v>#REF!</v>
      </c>
      <c r="K51" s="122"/>
    </row>
  </sheetData>
  <mergeCells count="19">
    <mergeCell ref="F26:H26"/>
    <mergeCell ref="A37:B37"/>
    <mergeCell ref="F39:H39"/>
    <mergeCell ref="F40:H40"/>
    <mergeCell ref="A51:B51"/>
    <mergeCell ref="A24:H24"/>
    <mergeCell ref="F25:H25"/>
    <mergeCell ref="A23:B23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F10:H10"/>
    <mergeCell ref="F11:H11"/>
  </mergeCells>
  <pageMargins left="0.39370078740157483" right="0.39370078740157483" top="0.59055118110236227" bottom="0.59055118110236227" header="0" footer="0"/>
  <pageSetup paperSize="9" scale="80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DB789CB94C594B84D0BBEB871BD70A" ma:contentTypeVersion="11" ma:contentTypeDescription="Crie um novo documento." ma:contentTypeScope="" ma:versionID="086883c153ed1dfdf071b7505a7c3e97">
  <xsd:schema xmlns:xsd="http://www.w3.org/2001/XMLSchema" xmlns:xs="http://www.w3.org/2001/XMLSchema" xmlns:p="http://schemas.microsoft.com/office/2006/metadata/properties" xmlns:ns2="78fb9c12-0a21-4758-884b-2e00249e6db9" xmlns:ns3="cd18509f-26e4-42a9-a911-263644ee066a" targetNamespace="http://schemas.microsoft.com/office/2006/metadata/properties" ma:root="true" ma:fieldsID="3cb093359da592da9cf901b6ffdce578" ns2:_="" ns3:_="">
    <xsd:import namespace="78fb9c12-0a21-4758-884b-2e00249e6db9"/>
    <xsd:import namespace="cd18509f-26e4-42a9-a911-263644ee066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b9c12-0a21-4758-884b-2e00249e6db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Marcações de imagem" ma:readOnly="false" ma:fieldId="{5cf76f15-5ced-4ddc-b409-7134ff3c332f}" ma:taxonomyMulti="true" ma:sspId="abe3d53f-864c-4c30-b421-a8cfe89da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09f-26e4-42a9-a911-263644ee066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a17b6d1-a6aa-43bf-91b6-94400fe29b72}" ma:internalName="TaxCatchAll" ma:showField="CatchAllData" ma:web="cd18509f-26e4-42a9-a911-263644ee06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fb9c12-0a21-4758-884b-2e00249e6db9">
      <Terms xmlns="http://schemas.microsoft.com/office/infopath/2007/PartnerControls"/>
    </lcf76f155ced4ddcb4097134ff3c332f>
    <TaxCatchAll xmlns="cd18509f-26e4-42a9-a911-263644ee06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2CF4A-5286-4270-91BB-408601C4C5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fb9c12-0a21-4758-884b-2e00249e6db9"/>
    <ds:schemaRef ds:uri="cd18509f-26e4-42a9-a911-263644ee0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0226A8-D72B-4142-9D1F-0C8960A11DEE}">
  <ds:schemaRefs>
    <ds:schemaRef ds:uri="http://schemas.microsoft.com/office/2006/metadata/properties"/>
    <ds:schemaRef ds:uri="http://www.w3.org/XML/1998/namespace"/>
    <ds:schemaRef ds:uri="http://purl.org/dc/terms/"/>
    <ds:schemaRef ds:uri="78fb9c12-0a21-4758-884b-2e00249e6db9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d18509f-26e4-42a9-a911-263644ee066a"/>
  </ds:schemaRefs>
</ds:datastoreItem>
</file>

<file path=customXml/itemProps3.xml><?xml version="1.0" encoding="utf-8"?>
<ds:datastoreItem xmlns:ds="http://schemas.openxmlformats.org/officeDocument/2006/customXml" ds:itemID="{1DA2B3B7-91FD-4508-AC4B-8C8A6B90BC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3</vt:i4>
      </vt:variant>
    </vt:vector>
  </HeadingPairs>
  <TitlesOfParts>
    <vt:vector size="10" baseType="lpstr">
      <vt:lpstr>MEMÓRIA</vt:lpstr>
      <vt:lpstr>BDI</vt:lpstr>
      <vt:lpstr>SINAPI + BDI</vt:lpstr>
      <vt:lpstr>ADM</vt:lpstr>
      <vt:lpstr>CRONOGRAMA</vt:lpstr>
      <vt:lpstr>1ª Medição</vt:lpstr>
      <vt:lpstr>SIMEC</vt:lpstr>
      <vt:lpstr>'1ª Medição'!Titulos_de_impressao</vt:lpstr>
      <vt:lpstr>MEMÓRIA!Titulos_de_impressao</vt:lpstr>
      <vt:lpstr>SIMEC!Titulos_de_impressao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CEFET/RN CEFET/RN</dc:creator>
  <cp:lastModifiedBy>Ary Torres de Araujo Neto</cp:lastModifiedBy>
  <cp:lastPrinted>2024-09-03T17:26:47Z</cp:lastPrinted>
  <dcterms:created xsi:type="dcterms:W3CDTF">2007-06-20T17:13:10Z</dcterms:created>
  <dcterms:modified xsi:type="dcterms:W3CDTF">2024-12-17T22:29:56Z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0x010100D9DB789CB94C594B84D0BBEB871BD70A</vt:lpwstr>
  </property>
  <property fmtid="{D5CDD505-2E9C-101B-9397-08002B2CF9AE}" pid="3" name="MediaServiceImageTags">
    <vt:lpwstr/>
  </property>
</Properties>
</file>