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d.docs.live.net/d6ca910682f21321/Documentos/DILIC 2024/PROCESSOS/OUTUBRO/Processo 23466.000607.2024-01 - Serviço limpeza CAL/PUBLICAÇÃO/"/>
    </mc:Choice>
  </mc:AlternateContent>
  <xr:revisionPtr revIDLastSave="0" documentId="8_{A8747AAF-E3AC-4A0F-8BED-4EBACC26D755}" xr6:coauthVersionLast="47" xr6:coauthVersionMax="47" xr10:uidLastSave="{00000000-0000-0000-0000-000000000000}"/>
  <bookViews>
    <workbookView xWindow="-120" yWindow="-120" windowWidth="38640" windowHeight="15720" tabRatio="857" firstSheet="2" activeTab="2" xr2:uid="{00000000-000D-0000-FFFF-FFFF00000000}"/>
  </bookViews>
  <sheets>
    <sheet name="Planilha1" sheetId="5" state="hidden" r:id="rId1"/>
    <sheet name="Novo Simulador" sheetId="10" r:id="rId2"/>
    <sheet name="ASG" sheetId="6" r:id="rId3"/>
    <sheet name="Encarregado" sheetId="8" r:id="rId4"/>
    <sheet name="ASG-INSAL" sheetId="7" r:id="rId5"/>
    <sheet name="SUPERVISOR" sheetId="11" r:id="rId6"/>
    <sheet name="Insumos v2" sheetId="19" r:id="rId7"/>
    <sheet name="Fardamento" sheetId="15" r:id="rId8"/>
    <sheet name="ETP" sheetId="16" r:id="rId9"/>
    <sheet name="ETP TR V2" sheetId="18" r:id="rId10"/>
    <sheet name="ETP TR ñ usado" sheetId="17" r:id="rId11"/>
  </sheets>
  <definedNames>
    <definedName name="_xlnm.Print_Area" localSheetId="2">ASG!$A$1:$D$144</definedName>
    <definedName name="_xlnm.Print_Area" localSheetId="4">'ASG-INSAL'!$A$1:$D$144</definedName>
    <definedName name="_xlnm.Print_Area" localSheetId="1">'Novo Simulador'!$A$1:$I$76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18" l="1"/>
  <c r="G4" i="18"/>
  <c r="G3" i="18"/>
  <c r="F3" i="18"/>
  <c r="F4" i="18"/>
  <c r="F5" i="18"/>
  <c r="G4" i="10"/>
  <c r="E11" i="19"/>
  <c r="E12" i="19"/>
  <c r="E10" i="19"/>
  <c r="C117" i="7" a="1"/>
  <c r="C117" i="7" s="1"/>
  <c r="C116" i="7" a="1"/>
  <c r="C116" i="7" s="1"/>
  <c r="C115" i="7" a="1"/>
  <c r="C115" i="7" s="1"/>
  <c r="C114" i="7"/>
  <c r="C117" i="6" a="1"/>
  <c r="C117" i="6" s="1"/>
  <c r="C116" i="6" a="1"/>
  <c r="C116" i="6" s="1"/>
  <c r="C115" i="6" a="1"/>
  <c r="C115" i="6" s="1"/>
  <c r="I151" i="19"/>
  <c r="C11" i="19" s="1"/>
  <c r="A153" i="19"/>
  <c r="A136" i="19"/>
  <c r="A15" i="19"/>
  <c r="A6" i="19"/>
  <c r="I134" i="19" l="1"/>
  <c r="C10" i="19" s="1"/>
  <c r="C13" i="19" s="1"/>
  <c r="I183" i="19"/>
  <c r="C12" i="19" s="1"/>
  <c r="E13" i="19" l="1"/>
  <c r="I185" i="19"/>
  <c r="K6" i="10" l="1"/>
  <c r="I15" i="17"/>
  <c r="J15" i="17" s="1"/>
  <c r="F12" i="17"/>
  <c r="G12" i="17" s="1"/>
  <c r="F13" i="17"/>
  <c r="G13" i="17" s="1"/>
  <c r="F14" i="17"/>
  <c r="G14" i="17" s="1"/>
  <c r="F6" i="17"/>
  <c r="G6" i="17" s="1"/>
  <c r="F2" i="17"/>
  <c r="G2" i="17" s="1"/>
  <c r="F3" i="17"/>
  <c r="G3" i="17" s="1"/>
  <c r="F4" i="17"/>
  <c r="G4" i="17" s="1"/>
  <c r="F5" i="17"/>
  <c r="G5" i="17" s="1"/>
  <c r="F7" i="17"/>
  <c r="G7" i="17" s="1"/>
  <c r="F8" i="17"/>
  <c r="G8" i="17" s="1"/>
  <c r="F9" i="17"/>
  <c r="G9" i="17" s="1"/>
  <c r="F10" i="17"/>
  <c r="G10" i="17"/>
  <c r="F11" i="17"/>
  <c r="G15" i="17"/>
  <c r="C126" i="7"/>
  <c r="C126" i="8"/>
  <c r="G11" i="17" l="1"/>
  <c r="C114" i="8"/>
  <c r="C114" i="6"/>
  <c r="D29" i="10"/>
  <c r="G10" i="15"/>
  <c r="F10" i="15"/>
  <c r="G9" i="15"/>
  <c r="F9" i="15"/>
  <c r="G8" i="15"/>
  <c r="F8" i="15"/>
  <c r="G7" i="15"/>
  <c r="F7" i="15"/>
  <c r="G6" i="15"/>
  <c r="F6" i="15"/>
  <c r="G5" i="15"/>
  <c r="F5" i="15"/>
  <c r="G4" i="15"/>
  <c r="F4" i="15"/>
  <c r="F11" i="15" s="1"/>
  <c r="F12" i="15" s="1"/>
  <c r="F13" i="15" s="1"/>
  <c r="G5" i="10" l="1"/>
  <c r="I5" i="10"/>
  <c r="C90" i="7" l="1"/>
  <c r="C90" i="8"/>
  <c r="D76" i="6"/>
  <c r="C77" i="8"/>
  <c r="C52" i="7"/>
  <c r="C52" i="8"/>
  <c r="C52" i="6"/>
  <c r="C30" i="6"/>
  <c r="C30" i="8" l="1"/>
  <c r="C90" i="6"/>
  <c r="C74" i="6"/>
  <c r="C73" i="6" l="1"/>
  <c r="C72" i="6"/>
  <c r="C61" i="10" l="1"/>
  <c r="C42" i="10"/>
  <c r="C123" i="11" l="1"/>
  <c r="C126" i="6"/>
  <c r="C63" i="10" l="1"/>
  <c r="C64" i="10"/>
  <c r="C65" i="10"/>
  <c r="C66" i="10"/>
  <c r="C67" i="10"/>
  <c r="C68" i="10"/>
  <c r="C69" i="10"/>
  <c r="C70" i="10"/>
  <c r="C71" i="10"/>
  <c r="C72" i="10"/>
  <c r="C73" i="10"/>
  <c r="C74" i="10"/>
  <c r="C75" i="10"/>
  <c r="C62" i="10"/>
  <c r="C43" i="10"/>
  <c r="C44" i="10"/>
  <c r="D63" i="10" s="1"/>
  <c r="C45" i="10"/>
  <c r="C46" i="10"/>
  <c r="C47" i="10"/>
  <c r="C48" i="10"/>
  <c r="C49" i="10"/>
  <c r="C50" i="10"/>
  <c r="C51" i="10"/>
  <c r="C52" i="10"/>
  <c r="C53" i="10"/>
  <c r="C54" i="10"/>
  <c r="C55" i="10"/>
  <c r="C56" i="10"/>
  <c r="D61" i="10"/>
  <c r="D62" i="10" l="1"/>
  <c r="D69" i="10"/>
  <c r="D65" i="10"/>
  <c r="D68" i="10"/>
  <c r="D67" i="10"/>
  <c r="D70" i="10"/>
  <c r="D66" i="10"/>
  <c r="D64" i="10"/>
  <c r="F45" i="10" l="1"/>
  <c r="D74" i="10" l="1"/>
  <c r="D71" i="10"/>
  <c r="B36" i="10"/>
  <c r="D36" i="10"/>
  <c r="B35" i="10"/>
  <c r="B34" i="10"/>
  <c r="B33" i="10"/>
  <c r="D33" i="10"/>
  <c r="B23" i="10"/>
  <c r="D35" i="10"/>
  <c r="D34" i="10"/>
  <c r="D23" i="10"/>
  <c r="D72" i="10" l="1"/>
  <c r="G7" i="10" l="1"/>
  <c r="D24" i="10" l="1"/>
  <c r="C22" i="10"/>
  <c r="B42" i="10" l="1"/>
  <c r="B61" i="10" s="1"/>
  <c r="C58" i="10"/>
  <c r="D75" i="10"/>
  <c r="B43" i="10"/>
  <c r="B62" i="10" s="1"/>
  <c r="B44" i="10"/>
  <c r="B63" i="10" s="1"/>
  <c r="B45" i="10"/>
  <c r="B64" i="10" s="1"/>
  <c r="B46" i="10"/>
  <c r="B65" i="10" s="1"/>
  <c r="B47" i="10"/>
  <c r="B66" i="10" s="1"/>
  <c r="B48" i="10"/>
  <c r="B67" i="10" s="1"/>
  <c r="B49" i="10"/>
  <c r="B68" i="10" s="1"/>
  <c r="B50" i="10"/>
  <c r="B69" i="10" s="1"/>
  <c r="B51" i="10"/>
  <c r="B70" i="10" s="1"/>
  <c r="B52" i="10"/>
  <c r="B71" i="10" s="1"/>
  <c r="B53" i="10"/>
  <c r="B72" i="10" s="1"/>
  <c r="B54" i="10"/>
  <c r="B55" i="10"/>
  <c r="B74" i="10" s="1"/>
  <c r="B56" i="10"/>
  <c r="B75" i="10" s="1"/>
  <c r="D73" i="10" l="1"/>
  <c r="B73" i="10"/>
  <c r="B76" i="10" s="1"/>
  <c r="C96" i="11"/>
  <c r="C89" i="11"/>
  <c r="C49" i="11"/>
  <c r="C42" i="11"/>
  <c r="C72" i="11" s="1"/>
  <c r="C17" i="11"/>
  <c r="D88" i="11" l="1"/>
  <c r="C48" i="11"/>
  <c r="C53" i="11" s="1"/>
  <c r="C61" i="11" s="1"/>
  <c r="C74" i="11"/>
  <c r="D76" i="10"/>
  <c r="G6" i="10" s="1"/>
  <c r="D86" i="11"/>
  <c r="D35" i="11"/>
  <c r="D38" i="11"/>
  <c r="C133" i="11"/>
  <c r="C26" i="11"/>
  <c r="D39" i="11"/>
  <c r="D34" i="11"/>
  <c r="D85" i="11"/>
  <c r="D36" i="11"/>
  <c r="D40" i="11"/>
  <c r="D83" i="11"/>
  <c r="D87" i="11"/>
  <c r="D95" i="11"/>
  <c r="D96" i="11" s="1"/>
  <c r="C103" i="11" s="1"/>
  <c r="C25" i="11"/>
  <c r="D37" i="11"/>
  <c r="D41" i="11"/>
  <c r="D84" i="11"/>
  <c r="D42" i="11" l="1"/>
  <c r="C60" i="11" s="1"/>
  <c r="C27" i="11"/>
  <c r="C28" i="11" s="1"/>
  <c r="C29" i="11" s="1"/>
  <c r="C59" i="11" s="1"/>
  <c r="C62" i="11" s="1"/>
  <c r="D89" i="11"/>
  <c r="C102" i="11" s="1"/>
  <c r="D71" i="11" l="1"/>
  <c r="D72" i="11"/>
  <c r="D73" i="11"/>
  <c r="D70" i="11"/>
  <c r="D69" i="11"/>
  <c r="D68" i="11"/>
  <c r="C134" i="11"/>
  <c r="C104" i="11"/>
  <c r="C105" i="11" s="1"/>
  <c r="C136" i="11" s="1"/>
  <c r="F49" i="10"/>
  <c r="F48" i="10"/>
  <c r="B12" i="5"/>
  <c r="D74" i="11" l="1"/>
  <c r="B37" i="10"/>
  <c r="D37" i="10"/>
  <c r="D32" i="10"/>
  <c r="B32" i="10"/>
  <c r="D31" i="10"/>
  <c r="B31" i="10"/>
  <c r="F47" i="10"/>
  <c r="D30" i="10"/>
  <c r="B30" i="10"/>
  <c r="F46" i="10"/>
  <c r="B29" i="10"/>
  <c r="D28" i="10"/>
  <c r="B28" i="10"/>
  <c r="D27" i="10"/>
  <c r="B27" i="10"/>
  <c r="D26" i="10"/>
  <c r="B26" i="10"/>
  <c r="D25" i="10"/>
  <c r="B25" i="10"/>
  <c r="B24" i="10"/>
  <c r="C99" i="8"/>
  <c r="C92" i="8"/>
  <c r="C45" i="8"/>
  <c r="C20" i="8"/>
  <c r="C99" i="7"/>
  <c r="C92" i="7"/>
  <c r="C45" i="7"/>
  <c r="C75" i="7" s="1"/>
  <c r="C77" i="7" s="1"/>
  <c r="C15" i="7"/>
  <c r="C20" i="7" s="1"/>
  <c r="C99" i="6"/>
  <c r="C92" i="6"/>
  <c r="C45" i="6"/>
  <c r="C20" i="6"/>
  <c r="C51" i="6" s="1"/>
  <c r="D38" i="10" l="1"/>
  <c r="C75" i="6"/>
  <c r="D40" i="8"/>
  <c r="D28" i="8"/>
  <c r="D29" i="8"/>
  <c r="D29" i="6"/>
  <c r="D28" i="6"/>
  <c r="D98" i="7"/>
  <c r="D99" i="7" s="1"/>
  <c r="C106" i="7" s="1"/>
  <c r="C51" i="7"/>
  <c r="C56" i="7" s="1"/>
  <c r="C64" i="7" s="1"/>
  <c r="D98" i="8"/>
  <c r="D99" i="8" s="1"/>
  <c r="C106" i="8" s="1"/>
  <c r="C51" i="8"/>
  <c r="C56" i="8" s="1"/>
  <c r="C64" i="8" s="1"/>
  <c r="C135" i="11"/>
  <c r="C111" i="11"/>
  <c r="C115" i="11" s="1"/>
  <c r="C137" i="11" s="1"/>
  <c r="D98" i="6"/>
  <c r="D99" i="6" s="1"/>
  <c r="C106" i="6" s="1"/>
  <c r="D87" i="6"/>
  <c r="D89" i="8"/>
  <c r="D91" i="6"/>
  <c r="D41" i="8"/>
  <c r="D91" i="8"/>
  <c r="C137" i="6"/>
  <c r="D37" i="8"/>
  <c r="D42" i="8"/>
  <c r="D87" i="8"/>
  <c r="C137" i="8"/>
  <c r="D38" i="8"/>
  <c r="D44" i="8"/>
  <c r="D88" i="8"/>
  <c r="B38" i="10"/>
  <c r="D39" i="8"/>
  <c r="D43" i="8"/>
  <c r="D86" i="8"/>
  <c r="D90" i="8"/>
  <c r="C28" i="7"/>
  <c r="D40" i="7"/>
  <c r="D91" i="7"/>
  <c r="C29" i="7"/>
  <c r="D37" i="7"/>
  <c r="D41" i="7"/>
  <c r="D88" i="7"/>
  <c r="D44" i="7"/>
  <c r="D87" i="7"/>
  <c r="C137" i="7"/>
  <c r="D38" i="7"/>
  <c r="D42" i="7"/>
  <c r="D89" i="7"/>
  <c r="D39" i="7"/>
  <c r="D43" i="7"/>
  <c r="D86" i="7"/>
  <c r="D90" i="7"/>
  <c r="D88" i="6"/>
  <c r="D89" i="6"/>
  <c r="D86" i="6"/>
  <c r="D90" i="6"/>
  <c r="I4" i="10" l="1"/>
  <c r="C77" i="6"/>
  <c r="D75" i="6"/>
  <c r="D77" i="6" s="1"/>
  <c r="D30" i="8"/>
  <c r="D30" i="6"/>
  <c r="D31" i="6" s="1"/>
  <c r="D32" i="6" s="1"/>
  <c r="C138" i="11"/>
  <c r="D121" i="11" s="1"/>
  <c r="C30" i="7"/>
  <c r="C31" i="7" s="1"/>
  <c r="C32" i="7" s="1"/>
  <c r="C62" i="7" s="1"/>
  <c r="D76" i="7" s="1"/>
  <c r="C56" i="6"/>
  <c r="C64" i="6" s="1"/>
  <c r="D45" i="8"/>
  <c r="C63" i="8" s="1"/>
  <c r="D92" i="8"/>
  <c r="D92" i="7"/>
  <c r="D45" i="7"/>
  <c r="C63" i="7" s="1"/>
  <c r="D92" i="6"/>
  <c r="C65" i="7" l="1"/>
  <c r="C138" i="7" s="1"/>
  <c r="C62" i="6"/>
  <c r="D72" i="6" s="1"/>
  <c r="D37" i="6"/>
  <c r="D45" i="6"/>
  <c r="C63" i="6" s="1"/>
  <c r="D42" i="6"/>
  <c r="D44" i="6"/>
  <c r="D38" i="6"/>
  <c r="D39" i="6"/>
  <c r="D40" i="6"/>
  <c r="D43" i="6"/>
  <c r="D41" i="6"/>
  <c r="D31" i="8"/>
  <c r="D32" i="8" s="1"/>
  <c r="C62" i="8" s="1"/>
  <c r="D76" i="8" s="1"/>
  <c r="D72" i="7"/>
  <c r="D73" i="7"/>
  <c r="D71" i="7"/>
  <c r="D74" i="7"/>
  <c r="D75" i="7"/>
  <c r="D122" i="11"/>
  <c r="D123" i="11" s="1"/>
  <c r="D127" i="11" s="1"/>
  <c r="C139" i="11" s="1"/>
  <c r="C140" i="11" s="1"/>
  <c r="C118" i="7"/>
  <c r="C141" i="7" s="1"/>
  <c r="C105" i="8"/>
  <c r="C107" i="8" s="1"/>
  <c r="C105" i="7"/>
  <c r="C105" i="6"/>
  <c r="D77" i="7" l="1"/>
  <c r="D73" i="6"/>
  <c r="C65" i="6"/>
  <c r="C138" i="6" s="1"/>
  <c r="D74" i="6"/>
  <c r="D71" i="6"/>
  <c r="D74" i="8"/>
  <c r="D75" i="8"/>
  <c r="D71" i="8"/>
  <c r="D73" i="8"/>
  <c r="D72" i="8"/>
  <c r="C65" i="8"/>
  <c r="C138" i="8" s="1"/>
  <c r="C139" i="7"/>
  <c r="C108" i="8"/>
  <c r="C140" i="8" s="1"/>
  <c r="C107" i="7"/>
  <c r="C108" i="7" s="1"/>
  <c r="C140" i="7" s="1"/>
  <c r="C107" i="6"/>
  <c r="C108" i="6" s="1"/>
  <c r="C140" i="6" s="1"/>
  <c r="D77" i="8" l="1"/>
  <c r="C139" i="6"/>
  <c r="C139" i="8"/>
  <c r="C118" i="8"/>
  <c r="C141" i="8" s="1"/>
  <c r="C142" i="7"/>
  <c r="D124" i="7" s="1"/>
  <c r="C118" i="6"/>
  <c r="C141" i="6" s="1"/>
  <c r="D125" i="7" l="1"/>
  <c r="D126" i="7" s="1"/>
  <c r="C142" i="6"/>
  <c r="D124" i="6" s="1"/>
  <c r="C142" i="8"/>
  <c r="D124" i="8" s="1"/>
  <c r="D125" i="8" l="1"/>
  <c r="D126" i="8" s="1"/>
  <c r="D131" i="7"/>
  <c r="C143" i="7" s="1"/>
  <c r="C144" i="7" s="1"/>
  <c r="H5" i="10" s="1"/>
  <c r="K5" i="10" s="1"/>
  <c r="D125" i="6"/>
  <c r="C4" i="5"/>
  <c r="C5" i="5"/>
  <c r="C6" i="5"/>
  <c r="C7" i="5"/>
  <c r="C8" i="5"/>
  <c r="C9" i="5"/>
  <c r="C10" i="5"/>
  <c r="C11" i="5"/>
  <c r="C12" i="5"/>
  <c r="C13" i="5"/>
  <c r="C14" i="5"/>
  <c r="C15" i="5"/>
  <c r="C3" i="5"/>
  <c r="B4" i="5"/>
  <c r="B5" i="5"/>
  <c r="B6" i="5"/>
  <c r="B7" i="5"/>
  <c r="B8" i="5"/>
  <c r="B9" i="5"/>
  <c r="B10" i="5"/>
  <c r="B11" i="5"/>
  <c r="B13" i="5"/>
  <c r="B14" i="5"/>
  <c r="B15" i="5"/>
  <c r="B3" i="5"/>
  <c r="D131" i="8" l="1"/>
  <c r="C143" i="8" s="1"/>
  <c r="C144" i="8" s="1"/>
  <c r="H6" i="10" s="1"/>
  <c r="D49" i="10" s="1"/>
  <c r="H35" i="10" s="1"/>
  <c r="D126" i="6"/>
  <c r="D131" i="6" s="1"/>
  <c r="C143" i="6" s="1"/>
  <c r="C144" i="6" s="1"/>
  <c r="H4" i="10" s="1"/>
  <c r="K4" i="10" s="1"/>
  <c r="K7" i="10" s="1"/>
  <c r="E12" i="5"/>
  <c r="D12" i="5"/>
  <c r="E14" i="5"/>
  <c r="D14" i="5"/>
  <c r="D10" i="5"/>
  <c r="D7" i="5"/>
  <c r="E7" i="5"/>
  <c r="D3" i="5"/>
  <c r="D8" i="5"/>
  <c r="E8" i="5"/>
  <c r="E9" i="5"/>
  <c r="D9" i="5"/>
  <c r="E15" i="5"/>
  <c r="D15" i="5"/>
  <c r="D13" i="5"/>
  <c r="D5" i="5"/>
  <c r="E5" i="5"/>
  <c r="E4" i="5"/>
  <c r="D4" i="5"/>
  <c r="E6" i="5"/>
  <c r="D6" i="5"/>
  <c r="E11" i="5"/>
  <c r="D11" i="5"/>
  <c r="D44" i="10" l="1"/>
  <c r="H30" i="10" s="1"/>
  <c r="D52" i="10"/>
  <c r="H38" i="10" s="1"/>
  <c r="D45" i="10"/>
  <c r="H31" i="10" s="1"/>
  <c r="D53" i="10"/>
  <c r="H39" i="10" s="1"/>
  <c r="D48" i="10"/>
  <c r="H34" i="10" s="1"/>
  <c r="D46" i="10"/>
  <c r="H32" i="10" s="1"/>
  <c r="D51" i="10"/>
  <c r="H37" i="10" s="1"/>
  <c r="D54" i="10"/>
  <c r="H40" i="10" s="1"/>
  <c r="D47" i="10"/>
  <c r="H33" i="10" s="1"/>
  <c r="D43" i="10"/>
  <c r="H29" i="10" s="1"/>
  <c r="D55" i="10"/>
  <c r="H41" i="10" s="1"/>
  <c r="D42" i="10"/>
  <c r="H28" i="10" s="1"/>
  <c r="D56" i="10"/>
  <c r="H42" i="10" s="1"/>
  <c r="D50" i="10"/>
  <c r="H36" i="10" s="1"/>
  <c r="D14" i="10"/>
  <c r="D11" i="10"/>
  <c r="D10" i="10"/>
  <c r="D5" i="10"/>
  <c r="D12" i="10"/>
  <c r="D18" i="10"/>
  <c r="H25" i="10" s="1"/>
  <c r="D7" i="10"/>
  <c r="D17" i="10"/>
  <c r="H24" i="10" s="1"/>
  <c r="D8" i="10"/>
  <c r="D15" i="10"/>
  <c r="D6" i="10"/>
  <c r="D16" i="10"/>
  <c r="D13" i="10"/>
  <c r="D9" i="10"/>
  <c r="D4" i="10"/>
  <c r="E3" i="5"/>
  <c r="E10" i="5"/>
  <c r="E13" i="5"/>
  <c r="C21" i="10"/>
  <c r="H51" i="10"/>
  <c r="H18" i="10" l="1"/>
  <c r="H9" i="17"/>
  <c r="I9" i="17" s="1"/>
  <c r="J9" i="17" s="1"/>
  <c r="H15" i="10"/>
  <c r="H6" i="17"/>
  <c r="I6" i="17" s="1"/>
  <c r="J6" i="17" s="1"/>
  <c r="H21" i="10"/>
  <c r="H12" i="17"/>
  <c r="I12" i="17" s="1"/>
  <c r="J12" i="17" s="1"/>
  <c r="H14" i="10"/>
  <c r="H5" i="17"/>
  <c r="I5" i="17" s="1"/>
  <c r="J5" i="17" s="1"/>
  <c r="H22" i="10"/>
  <c r="H13" i="17"/>
  <c r="I13" i="17" s="1"/>
  <c r="J13" i="17" s="1"/>
  <c r="H11" i="10"/>
  <c r="H2" i="17"/>
  <c r="I2" i="17" s="1"/>
  <c r="H16" i="10"/>
  <c r="H7" i="17"/>
  <c r="I7" i="17" s="1"/>
  <c r="J7" i="17" s="1"/>
  <c r="H20" i="10"/>
  <c r="H11" i="17"/>
  <c r="I11" i="17" s="1"/>
  <c r="J11" i="17" s="1"/>
  <c r="H19" i="10"/>
  <c r="H10" i="17"/>
  <c r="I10" i="17" s="1"/>
  <c r="J10" i="17" s="1"/>
  <c r="H23" i="10"/>
  <c r="H14" i="17"/>
  <c r="I14" i="17" s="1"/>
  <c r="J14" i="17" s="1"/>
  <c r="H12" i="10"/>
  <c r="H3" i="17"/>
  <c r="I3" i="17" s="1"/>
  <c r="J3" i="17" s="1"/>
  <c r="H13" i="10"/>
  <c r="H4" i="17"/>
  <c r="I4" i="17" s="1"/>
  <c r="J4" i="17" s="1"/>
  <c r="H17" i="10"/>
  <c r="H8" i="17"/>
  <c r="I8" i="17" s="1"/>
  <c r="J8" i="17" s="1"/>
  <c r="H48" i="10"/>
  <c r="G48" i="10" s="1"/>
  <c r="H49" i="10"/>
  <c r="G49" i="10" s="1"/>
  <c r="H46" i="10" l="1"/>
  <c r="G46" i="10" s="1"/>
  <c r="H4" i="18" s="1"/>
  <c r="I4" i="18" s="1"/>
  <c r="J4" i="18" s="1"/>
  <c r="H47" i="10"/>
  <c r="G47" i="10" s="1"/>
  <c r="H5" i="18" s="1"/>
  <c r="I5" i="18" s="1"/>
  <c r="J5" i="18" s="1"/>
  <c r="H45" i="10"/>
  <c r="G45" i="10" s="1"/>
  <c r="H3" i="18" s="1"/>
  <c r="I3" i="18" s="1"/>
  <c r="J3" i="18" s="1"/>
  <c r="J2" i="17"/>
  <c r="J16" i="17" s="1"/>
  <c r="I16" i="17"/>
  <c r="J7" i="18" l="1"/>
  <c r="H52" i="10"/>
  <c r="H54" i="10" s="1"/>
  <c r="I7"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CTI</author>
  </authors>
  <commentList>
    <comment ref="B2" authorId="0" shapeId="0" xr:uid="{00000000-0006-0000-0000-000001000000}">
      <text>
        <r>
          <rPr>
            <b/>
            <sz val="12"/>
            <color indexed="81"/>
            <rFont val="Segoe UI"/>
            <family val="2"/>
          </rPr>
          <t>Definir as áreas "adaptando" para a sua estratégia.</t>
        </r>
      </text>
    </comment>
    <comment ref="C2" authorId="0" shapeId="0" xr:uid="{00000000-0006-0000-0000-000002000000}">
      <text>
        <r>
          <rPr>
            <b/>
            <sz val="12"/>
            <color indexed="81"/>
            <rFont val="Segoe UI"/>
            <family val="2"/>
          </rPr>
          <t>Definir as áreas "adaptando" para a sua estratégia.</t>
        </r>
      </text>
    </comment>
    <comment ref="D2" authorId="0" shapeId="0" xr:uid="{00000000-0006-0000-0000-000003000000}">
      <text>
        <r>
          <rPr>
            <b/>
            <sz val="12"/>
            <color indexed="81"/>
            <rFont val="Segoe UI"/>
            <family val="2"/>
          </rPr>
          <t>Definir as áreas "adaptando" para a sua estratégia.</t>
        </r>
      </text>
    </comment>
    <comment ref="E2" authorId="0" shapeId="0" xr:uid="{00000000-0006-0000-0000-000004000000}">
      <text>
        <r>
          <rPr>
            <b/>
            <sz val="12"/>
            <color indexed="81"/>
            <rFont val="Segoe UI"/>
            <family val="2"/>
          </rPr>
          <t>Definir as áreas "adaptando" para a sua estratégia.</t>
        </r>
      </text>
    </comment>
    <comment ref="C3" authorId="0" shapeId="0" xr:uid="{00000000-0006-0000-0000-000005000000}">
      <text>
        <r>
          <rPr>
            <b/>
            <sz val="12"/>
            <color indexed="81"/>
            <rFont val="Segoe UI"/>
            <family val="2"/>
          </rPr>
          <t>O intervalo dessas produtividades estão definidos na IN 05/2017. Se tornam relativos uma vez que a área definida pode ser manipulada conforme a estratégia  de sua gestão e pode não configurar a produtividade que os ASGs executarão na realidade.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CTI</author>
    <author>Gustavo Moura Cavalcanti</author>
  </authors>
  <commentList>
    <comment ref="A1" authorId="0" shapeId="0" xr:uid="{00000000-0006-0000-0100-000001000000}">
      <text>
        <r>
          <rPr>
            <b/>
            <sz val="12"/>
            <color indexed="81"/>
            <rFont val="Segoe UI"/>
            <family val="2"/>
          </rPr>
          <t>Preencher apenas as células verdes com borda vermelha!</t>
        </r>
      </text>
    </comment>
    <comment ref="B3" authorId="0" shapeId="0" xr:uid="{00000000-0006-0000-0100-000002000000}">
      <text>
        <r>
          <rPr>
            <b/>
            <sz val="12"/>
            <color indexed="81"/>
            <rFont val="Segoe UI"/>
            <family val="2"/>
          </rPr>
          <t>Dados disponibilizados pelo Arquiteto do campus. Peçam ao Engº do campus/reitoria para disponibilizar a área real do campus adequando a estes segmentos que foram definidos na IN 05/2017.
Definir produtividade de tal forma que a qtd de ASGs fique o mais próximo de um número inteiro no quadro resumo dos custos da mão de obra</t>
        </r>
      </text>
    </comment>
    <comment ref="C3" authorId="0" shapeId="0" xr:uid="{00000000-0006-0000-0100-000003000000}">
      <text>
        <r>
          <rPr>
            <b/>
            <sz val="12"/>
            <color indexed="81"/>
            <rFont val="Segoe UI"/>
            <family val="2"/>
          </rPr>
          <t xml:space="preserve">Definir as áreas "adaptando" para a sua estratégia.
</t>
        </r>
      </text>
    </comment>
    <comment ref="C21" authorId="1" shapeId="0" xr:uid="{00000000-0006-0000-0100-000005000000}">
      <text>
        <r>
          <rPr>
            <b/>
            <sz val="9"/>
            <color indexed="81"/>
            <rFont val="Segoe UI"/>
            <family val="2"/>
          </rPr>
          <t>Gustavo Moura Cavalcanti:</t>
        </r>
        <r>
          <rPr>
            <sz val="9"/>
            <color indexed="81"/>
            <rFont val="Segoe UI"/>
            <family val="2"/>
          </rPr>
          <t xml:space="preserve">
Apenas campus central utiliza</t>
        </r>
      </text>
    </comment>
    <comment ref="C23" authorId="0" shapeId="0" xr:uid="{00000000-0006-0000-0100-000006000000}">
      <text>
        <r>
          <rPr>
            <b/>
            <sz val="12"/>
            <color indexed="81"/>
            <rFont val="Segoe UI"/>
            <family val="2"/>
          </rPr>
          <t>O intervalo dessas produtividades estão definidos na IN 05/2017. Se tornam relativos uma vez que a área definida pode ser manipulada conforme a estratégia  de sua gestão e pode não configurar a produtividade que os ASGs executarão na realidade.</t>
        </r>
      </text>
    </comment>
    <comment ref="C41" authorId="0" shapeId="0" xr:uid="{00000000-0006-0000-0100-000007000000}">
      <text>
        <r>
          <rPr>
            <b/>
            <sz val="12"/>
            <color indexed="81"/>
            <rFont val="Segoe UI"/>
            <family val="2"/>
          </rPr>
          <t xml:space="preserve">Definir as áreas "adaptando" para a sua estratégia.
</t>
        </r>
      </text>
    </comment>
    <comment ref="C59" authorId="1" shapeId="0" xr:uid="{00000000-0006-0000-0100-000008000000}">
      <text>
        <r>
          <rPr>
            <b/>
            <sz val="9"/>
            <color indexed="81"/>
            <rFont val="Segoe UI"/>
            <family val="2"/>
          </rPr>
          <t>Gustavo Moura Cavalcanti:</t>
        </r>
        <r>
          <rPr>
            <sz val="9"/>
            <color indexed="81"/>
            <rFont val="Segoe UI"/>
            <family val="2"/>
          </rPr>
          <t xml:space="preserve">
Apenas campus central utiliza</t>
        </r>
      </text>
    </comment>
    <comment ref="C60" authorId="1" shapeId="0" xr:uid="{00000000-0006-0000-0100-000009000000}">
      <text>
        <r>
          <rPr>
            <b/>
            <sz val="9"/>
            <color indexed="81"/>
            <rFont val="Segoe UI"/>
            <family val="2"/>
          </rPr>
          <t>Gustavo Moura Cavalcanti:</t>
        </r>
        <r>
          <rPr>
            <sz val="9"/>
            <color indexed="81"/>
            <rFont val="Segoe UI"/>
            <family val="2"/>
          </rPr>
          <t xml:space="preserve">
Verificar o custo do vale transporte</t>
        </r>
      </text>
    </comment>
    <comment ref="C61" authorId="0" shapeId="0" xr:uid="{00000000-0006-0000-0100-00000A000000}">
      <text>
        <r>
          <rPr>
            <b/>
            <sz val="12"/>
            <color indexed="81"/>
            <rFont val="Segoe UI"/>
            <family val="2"/>
          </rPr>
          <t>O intervalo dessas produtividades estão definidos na IN 05/2017. Se tornam relativos uma vez que a área definida pode ser manipulada conforme a estratégia  de sua gestão e pode não configurar a produtividade que os Encarregados executarão na realidade.
Definir produtividades de forma que o número de encarregados fique o mais próximo de 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Guilherme Porfirio Penha</author>
    <author>Gabriel Lacerda de Paula</author>
  </authors>
  <commentList>
    <comment ref="C39" authorId="0" shapeId="0" xr:uid="{A328E2F8-799D-4EC7-AF9F-C6F178E7FBD2}">
      <text>
        <r>
          <rPr>
            <sz val="9"/>
            <color indexed="81"/>
            <rFont val="Segoe UI"/>
            <family val="2"/>
          </rPr>
          <t>Baixa 1%, Média 2% e Alta 3%</t>
        </r>
      </text>
    </comment>
    <comment ref="D125" authorId="1" shapeId="0" xr:uid="{41F16A1A-3461-488B-82F6-AB557D2DAAC2}">
      <text>
        <r>
          <rPr>
            <b/>
            <sz val="9"/>
            <color indexed="81"/>
            <rFont val="Segoe UI"/>
            <family val="2"/>
          </rPr>
          <t>Gabriel Lacerda de Paula:</t>
        </r>
        <r>
          <rPr>
            <sz val="9"/>
            <color indexed="81"/>
            <rFont val="Segoe UI"/>
            <family val="2"/>
          </rPr>
          <t xml:space="preserve">
Analisar a base de cálculo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Gustavo Moura Cavalcanti</author>
  </authors>
  <commentList>
    <comment ref="C39" authorId="0" shapeId="0" xr:uid="{00000000-0006-0000-0300-000001000000}">
      <text>
        <r>
          <rPr>
            <b/>
            <sz val="9"/>
            <color indexed="81"/>
            <rFont val="Segoe UI"/>
            <family val="2"/>
          </rPr>
          <t>Gustavo Moura Cavalcanti:</t>
        </r>
        <r>
          <rPr>
            <sz val="9"/>
            <color indexed="81"/>
            <rFont val="Segoe UI"/>
            <family val="2"/>
          </rPr>
          <t xml:space="preserve">
Baixa 1%, Média 2% e Alta 3%</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Gustavo Moura Cavalcanti</author>
  </authors>
  <commentList>
    <comment ref="C36" authorId="0" shapeId="0" xr:uid="{00000000-0006-0000-0500-000001000000}">
      <text>
        <r>
          <rPr>
            <b/>
            <sz val="9"/>
            <color indexed="81"/>
            <rFont val="Segoe UI"/>
            <family val="2"/>
          </rPr>
          <t>Gustavo Moura Cavalcanti:</t>
        </r>
        <r>
          <rPr>
            <sz val="9"/>
            <color indexed="81"/>
            <rFont val="Segoe UI"/>
            <family val="2"/>
          </rPr>
          <t xml:space="preserve">
Baixa 1%, Média 2% e Alta 3%</t>
        </r>
      </text>
    </comment>
    <comment ref="C52" authorId="0" shapeId="0" xr:uid="{00000000-0006-0000-0500-000002000000}">
      <text>
        <r>
          <rPr>
            <b/>
            <sz val="9"/>
            <color indexed="81"/>
            <rFont val="Segoe UI"/>
            <family val="2"/>
          </rPr>
          <t>Gustavo Moura Cavalcanti:</t>
        </r>
        <r>
          <rPr>
            <sz val="9"/>
            <color indexed="81"/>
            <rFont val="Segoe UI"/>
            <family val="2"/>
          </rPr>
          <t xml:space="preserve">
Cidade com mais de 100 mil habiantes (R$45,00 para menos de 100mil)</t>
        </r>
      </text>
    </comment>
    <comment ref="C111" authorId="0" shapeId="0" xr:uid="{00000000-0006-0000-0500-000003000000}">
      <text>
        <r>
          <rPr>
            <b/>
            <sz val="9"/>
            <color indexed="81"/>
            <rFont val="Segoe UI"/>
            <family val="2"/>
          </rPr>
          <t>Gustavo Moura Cavalcanti:</t>
        </r>
        <r>
          <rPr>
            <sz val="9"/>
            <color indexed="81"/>
            <rFont val="Segoe UI"/>
            <family val="2"/>
          </rPr>
          <t xml:space="preserve">
Caderno Técnico</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<sst xmlns="http://schemas.openxmlformats.org/spreadsheetml/2006/main" count="1513" uniqueCount="498">
  <si>
    <t>Nº de Reg. Da CCT</t>
  </si>
  <si>
    <t>Data de Vigência da CCT</t>
  </si>
  <si>
    <t>Programa de Qualificação Prof. e Marketing</t>
  </si>
  <si>
    <t>Materiais</t>
  </si>
  <si>
    <t>Tributos</t>
  </si>
  <si>
    <t>SINDLIMP</t>
  </si>
  <si>
    <t>ENCARREGADO DE TURMA</t>
  </si>
  <si>
    <t>A1. PISO ACARPETADO</t>
  </si>
  <si>
    <t>A2. PISO FRIO</t>
  </si>
  <si>
    <t>A4. ALMOX/GALPÃO</t>
  </si>
  <si>
    <t>A5. OFICINA</t>
  </si>
  <si>
    <t>A6. SAGUÕES / SALÕES</t>
  </si>
  <si>
    <t>A7. BANHEIROS</t>
  </si>
  <si>
    <t>B1. PAVIMENTAÇÃO ADJACENTE</t>
  </si>
  <si>
    <t>B2. PASSEIO / RUAS</t>
  </si>
  <si>
    <t>B3. ÁREAS VERDES</t>
  </si>
  <si>
    <t>ÁREAS DE LIMPEZA E ASSEIO</t>
  </si>
  <si>
    <t>C1. ESQUADRIAS EXTERNAS COM RISCO</t>
  </si>
  <si>
    <t>C2. ESQUADRIA EXTERNA SEM RISCO</t>
  </si>
  <si>
    <t>C3. ESQUADRIAS INTERNAS</t>
  </si>
  <si>
    <t>PRODUTIVIDADE A1 (800 a 1.200) EM M²</t>
  </si>
  <si>
    <t>PRODUTIVIDADE A2 (800 a 1.200) EM M²</t>
  </si>
  <si>
    <t>PRODUTIVIDADE A3 (360 a 450) EM M²</t>
  </si>
  <si>
    <t>PRODUTIVIDADE A4 (1.500 a 2.500) EM M²</t>
  </si>
  <si>
    <t>PRODUTIVIDADE A5 (1.200 a 1.800) EM M²</t>
  </si>
  <si>
    <t>PRODUTIVIDADE A6 (1.000  a 1.500) EM M²</t>
  </si>
  <si>
    <t>PRODUTIVIDADE A7 (200 a 300) EM M²</t>
  </si>
  <si>
    <t>PRODUTIVIDADE B1 (1.800 a 2.700) EM M²</t>
  </si>
  <si>
    <t>PRODUTIVIDADE B2 (6.000 a 9.000) EM M²</t>
  </si>
  <si>
    <t>PRODUTIVIDADE B3 (1.800 a 2.700) EM M²</t>
  </si>
  <si>
    <t>PRODUTIVIDADE C1 (130 a 160) EM M²</t>
  </si>
  <si>
    <t>PRODUTIVIDADE C2 (300 a 380) EM M²</t>
  </si>
  <si>
    <t>PRODUTIVIDADE C3 (300 a 380) EM M²</t>
  </si>
  <si>
    <t>Custos Indiretos</t>
  </si>
  <si>
    <t>Lucro</t>
  </si>
  <si>
    <t>VALOR R$/M²</t>
  </si>
  <si>
    <t>A. Valor ASG Mês</t>
  </si>
  <si>
    <t>C. Valor Encarregado de Turma</t>
  </si>
  <si>
    <t>HOMENS EM FUNÇÃO DA ÁREA DEFINIDA / PRODUTIVIDADE</t>
  </si>
  <si>
    <t>TOTAL MENSAL</t>
  </si>
  <si>
    <t>QTDE IDEAL</t>
  </si>
  <si>
    <t>R01. VL m² A1 x A</t>
  </si>
  <si>
    <t>R02. VL m² A2 x A</t>
  </si>
  <si>
    <t>R04. VL m² A4 x A</t>
  </si>
  <si>
    <t>R05. VL m² A5 x A</t>
  </si>
  <si>
    <t>R06. VL m² A6 x A</t>
  </si>
  <si>
    <t>R07. VL m² A7 x A</t>
  </si>
  <si>
    <t>R08. VL m² B1 x A</t>
  </si>
  <si>
    <t>R09. VL m² B2 x A</t>
  </si>
  <si>
    <t>R10. VL m² B3 x A</t>
  </si>
  <si>
    <t>R11. VL m² C1 x A</t>
  </si>
  <si>
    <t>R12. VL m² C2 x A</t>
  </si>
  <si>
    <t>R13. VL m² C3 x A</t>
  </si>
  <si>
    <r>
      <t xml:space="preserve">B. Valor ASG </t>
    </r>
    <r>
      <rPr>
        <u/>
        <sz val="11"/>
        <color theme="1"/>
        <rFont val="Calibri"/>
        <family val="2"/>
        <scheme val="minor"/>
      </rPr>
      <t>INSALUBRE</t>
    </r>
    <r>
      <rPr>
        <sz val="11"/>
        <color theme="1"/>
        <rFont val="Calibri"/>
        <family val="2"/>
        <scheme val="minor"/>
      </rPr>
      <t xml:space="preserve"> Mês</t>
    </r>
  </si>
  <si>
    <t>A3. LABORATÓRIO</t>
  </si>
  <si>
    <t>R03. VL m² A3 x A</t>
  </si>
  <si>
    <t>Aviso Prévio Indenizado</t>
  </si>
  <si>
    <t>SOMA DAS:</t>
  </si>
  <si>
    <t>V. MÉD M² EM R$</t>
  </si>
  <si>
    <t>CUSTO DA ÁREA EM R$</t>
  </si>
  <si>
    <t>ÁREA</t>
  </si>
  <si>
    <t>PRODUTIVIDADE</t>
  </si>
  <si>
    <t>VALOR R$/M2</t>
  </si>
  <si>
    <t>VALOR TOTAL</t>
  </si>
  <si>
    <t xml:space="preserve">RN000021/2019 </t>
  </si>
  <si>
    <t>01/01/2019 a 31/12/2020</t>
  </si>
  <si>
    <t>ÁREA REAL</t>
  </si>
  <si>
    <t>Multa do FGTS e contribuição social sobre o Aviso Prévio Indenizado</t>
  </si>
  <si>
    <t>Multa do FGTS e contribuição social sobre o Aviso Prévio Trabalhado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</si>
  <si>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</si>
  <si>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</si>
  <si>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</si>
  <si>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</si>
  <si>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</si>
  <si>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PLANILHA DE CUSTOS E FORMAÇÃO DE PREÇOS</t>
  </si>
  <si>
    <t>MODELO PARA A CONSOLIDAÇÃO E APRESENTAÇÃO DE PROPOSTAS</t>
  </si>
  <si>
    <t>Com ajustes após publicação da Lei n° 13.467, de 2017.</t>
  </si>
  <si>
    <t>Módulo 1 - Composição da Remuneração</t>
  </si>
  <si>
    <t>Composição da Remuneração</t>
  </si>
  <si>
    <t>Valor (R$)</t>
  </si>
  <si>
    <t>A</t>
  </si>
  <si>
    <t>Salário-Base</t>
  </si>
  <si>
    <t>B</t>
  </si>
  <si>
    <t>Adicional de Periculosidade</t>
  </si>
  <si>
    <t>C</t>
  </si>
  <si>
    <t>Adicional de Insalubridade</t>
  </si>
  <si>
    <t>D</t>
  </si>
  <si>
    <t>Adicional Noturno</t>
  </si>
  <si>
    <t>E</t>
  </si>
  <si>
    <t>Adicional de Hora Noturna Reduzida</t>
  </si>
  <si>
    <t xml:space="preserve">F </t>
  </si>
  <si>
    <t>Adicional de Hora Extra - feriado trabalhado</t>
  </si>
  <si>
    <t>G</t>
  </si>
  <si>
    <t>Outros (especificar)</t>
  </si>
  <si>
    <t>Total</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</si>
  <si>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</si>
  <si>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</si>
  <si>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</si>
  <si>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</si>
  <si>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</si>
  <si>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</si>
  <si>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SubTotal</t>
  </si>
  <si>
    <t>Incidência do submódulo 2.2</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</si>
  <si>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</si>
  <si>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</si>
  <si>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</si>
  <si>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</si>
  <si>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</si>
  <si>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</si>
  <si>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</si>
  <si>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</si>
  <si>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</si>
  <si>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</si>
  <si>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SEBRAE</t>
  </si>
  <si>
    <t>INCRA</t>
  </si>
  <si>
    <t>H</t>
  </si>
  <si>
    <t>FGTS</t>
  </si>
  <si>
    <t xml:space="preserve">Total </t>
  </si>
  <si>
    <t>Submódulo 2.3 - Benefícios Mensais e Diários.</t>
  </si>
  <si>
    <t>2.3</t>
  </si>
  <si>
    <t>Benefícios Mensais e Diários</t>
  </si>
  <si>
    <t>Transporte</t>
  </si>
  <si>
    <t>Auxílio-Refeição/Alimentação</t>
  </si>
  <si>
    <t>Benefício Saúde Familiar</t>
  </si>
  <si>
    <t>Quadro-Resumo do Módulo 2 - Encargos e Benefícios anuais, mensais e diários</t>
  </si>
  <si>
    <t>Encargos e Benefícios Anuais, Mensais e Diários</t>
  </si>
  <si>
    <t>Módulo 3 - Provisão para Rescisão</t>
  </si>
  <si>
    <t>Provisão para Rescisão</t>
  </si>
  <si>
    <t>Incidência do FGTS sobre o Aviso Prévio Indenizado</t>
  </si>
  <si>
    <t>Aviso Prévio Trabalhado</t>
  </si>
  <si>
    <t>Incidência de GPS, FGTS e outras contribuições sobre o Aviso Prévio Trabalhado</t>
  </si>
  <si>
    <t>Módulo 4 - Custo de Reposição do Profissional Ausente</t>
  </si>
  <si>
    <t>Submódulo 4.1 - Ausências Legais</t>
  </si>
  <si>
    <t>4.1</t>
  </si>
  <si>
    <t>Ausências Legais</t>
  </si>
  <si>
    <t>Substituto na cobertura de Outros (especificar)</t>
  </si>
  <si>
    <t>Submódulo 4.2 - Intrajornada</t>
  </si>
  <si>
    <t>4.2</t>
  </si>
  <si>
    <t xml:space="preserve">Substituto na Intrajornada </t>
  </si>
  <si>
    <t>Substituto na cobertura de Intervalo para repouso ou alimentação</t>
  </si>
  <si>
    <t>Quadro-Resumo do Módulo 4 - Custo de Reposição do Profissional Ausente</t>
  </si>
  <si>
    <t>Custo de Reposição do Profissional Ausente</t>
  </si>
  <si>
    <t>Substituto nas Ausências Legais</t>
  </si>
  <si>
    <t>Substituto na Intrajornada</t>
  </si>
  <si>
    <t>Incidência de GPS, FGTS e outras contribuições sobre o custo de reposição</t>
  </si>
  <si>
    <t>Módulo 5 - Insumos Diversos</t>
  </si>
  <si>
    <t>Insumos Diversos</t>
  </si>
  <si>
    <t>Equipamentos</t>
  </si>
  <si>
    <t>Módulo 6 - Custos Indiretos, Tributos e Lucro</t>
  </si>
  <si>
    <t>Custos Indiretos, Tributos e Lucro</t>
  </si>
  <si>
    <t>C.1. Tributos Federais (PIS 0,65% +COFINS 3,0%)</t>
  </si>
  <si>
    <t>C.2. Tributos Estaduais (especificar)</t>
  </si>
  <si>
    <t>C.3. Tributos Municipais (ISS)</t>
  </si>
  <si>
    <t>2. QUADRO-RESUMO DO CUSTO POR EMPREGADO</t>
  </si>
  <si>
    <t>Mão de obra vinculada à execução contratual (valor por empregado)</t>
  </si>
  <si>
    <t>Subtotal (A + B +C+ D+E)</t>
  </si>
  <si>
    <t>Módulo 6 – Custos Indiretos, Tributos e Lucro</t>
  </si>
  <si>
    <t xml:space="preserve">Valor Total por Empregado </t>
  </si>
  <si>
    <t>Adicional de Insalubridade - 40%</t>
  </si>
  <si>
    <t>A1. PISOS ACARPETADOS</t>
  </si>
  <si>
    <t>A2. PISOS FRIOS</t>
  </si>
  <si>
    <t>A3. LABORATÓRIOS</t>
  </si>
  <si>
    <t>A4. ALMOXARIFADOS/GALPÕES</t>
  </si>
  <si>
    <t>A5. OFICINAS</t>
  </si>
  <si>
    <t>A6. ÁREAS COM ESPAÇOS LIVRES (SAGUÃO, HALL E SALÃO)</t>
  </si>
  <si>
    <t>B1. PISOS PACIMENTADOS ADJACENTES/CONTÍGUOS ÀS EDIFICAÇÕES</t>
  </si>
  <si>
    <t>B2. VARRIÇÃO DE PASSEIOS E ARRUAMENTOS</t>
  </si>
  <si>
    <t>C1. ESQUADRIAS EXTERNAS COM EXPOSIÇÃO A SITUAÇÃO DE RISCO</t>
  </si>
  <si>
    <t>C2. ESQUADRIAS EXTERNAS SEM EXPOSIÇÃO A SITUAÇÃO DE RISCO</t>
  </si>
  <si>
    <t>D1. FACHADAS ENVIDRAÇADAS</t>
  </si>
  <si>
    <t>PRODUTIVIDADE D1 (130 a 160) EM M²</t>
  </si>
  <si>
    <t>PRODUTIVIDADE E1 (360 a 450) EM M²</t>
  </si>
  <si>
    <t>E1. ÁREAS HOSPITALARES E ASSEMELHADAS</t>
  </si>
  <si>
    <t>R14. VL m² C3 x A</t>
  </si>
  <si>
    <t>R15. VL m² C3 x A</t>
  </si>
  <si>
    <t>SUPERVISOR</t>
  </si>
  <si>
    <t>CUSTO MENSAL DO SUPERVISOR</t>
  </si>
  <si>
    <t>TOTAL ANUAL (12 MESES)</t>
  </si>
  <si>
    <t>VARIÁVEIS - PRODUTIVIDADE ENCARREGADO</t>
  </si>
  <si>
    <t>VARIÁVEIS - PRODUTIVIDADE ASGs</t>
  </si>
  <si>
    <t>ÁREAS DE LIMPEZA E ASSEIO - ENCARREGADO</t>
  </si>
  <si>
    <t>ÁREAS DE LIMPEZA E ASSEIO - ASG</t>
  </si>
  <si>
    <t>VALORES POR ÁREA - ASG</t>
  </si>
  <si>
    <t>VALORES POR ÁREA - ENCARREGADO</t>
  </si>
  <si>
    <t>VALOR DA PASSAGEM (VALE-TRANSPORTE) EM R$ (REAIS)</t>
  </si>
  <si>
    <t>D. Valor do Supervisor de Turma</t>
  </si>
  <si>
    <t>C1. ESQUADRIAS FACE EXTERNAS COM EXPOSIÇÃO A SITUAÇÃO DE RISCO</t>
  </si>
  <si>
    <t>C2. ESQUADRIAS FACE EXTERNAS SEM EXPOSIÇÃO A SITUAÇÃO DE RISCO</t>
  </si>
  <si>
    <t>C3. ESQUADRIAS FACE INTERNAS</t>
  </si>
  <si>
    <t>B1. PISOS PAVIMENTADOS ADJACENTES/CONTÍGUOS ÀS EDIFICAÇÕES</t>
  </si>
  <si>
    <t>Administradora de benefícios sociais</t>
  </si>
  <si>
    <t>Uniformes - calça, camisa, tênis, meia, boné, crachá</t>
  </si>
  <si>
    <t>Outros (EPI's e EPC's)</t>
  </si>
  <si>
    <t>ÁREA DEFINIDA</t>
  </si>
  <si>
    <t>RESUMO DA QUANTIDADE E CUSTO DA MÃO DE OBRA</t>
  </si>
  <si>
    <t>CALCULADORA PARA CONTRATAÇÃO DE SERVIÇO TERCEIRIZADO DE LIMPEZA COM MÃO DE OBRA DEDICADA</t>
  </si>
  <si>
    <t>QTDE</t>
  </si>
  <si>
    <t>Módulo 1 - Composição da Remuneração - ASG</t>
  </si>
  <si>
    <t>Módulo 1 - Composição da Remuneração - ENCARREGADO</t>
  </si>
  <si>
    <t>Auxílio Saúde</t>
  </si>
  <si>
    <t>Benefício Social Familiar</t>
  </si>
  <si>
    <t>Seguro de vida</t>
  </si>
  <si>
    <t>Uniformes - calça, camisa, meia e crachá.</t>
  </si>
  <si>
    <t>Uniformes - calça, camisa, meia e crachá</t>
  </si>
  <si>
    <t xml:space="preserve">De acordo com o entendimento do TCU no Acórdão nº 1.186/2017 - Plenário, a Administração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(Enunciado do Boletim de Jurisprudência nº 176/2017). </t>
  </si>
  <si>
    <t>-</t>
  </si>
  <si>
    <t>EPIs/EPCs</t>
  </si>
  <si>
    <t>Par</t>
  </si>
  <si>
    <t>Sapato de segurança sem biqueira de aço. Calçado de segurança, tipo sapato, fechamento em elástico, confeccionado em couro curtido ao cromo, palmilha de montagem em material sintético montada pelo sistema strobel, sem biqueira de aço, solado de poliuretano bidensidade com propriedade antiderrapante injetado diretamente no cabedal, resistente ao óleo combustível. Indicado para proteção dos pés do usuário contra impactos de quedas de objetos sobre os artelhos e contra agentes abrasivos e escoriantes. Certificado de Aprovação do Ministério do Trabalho e Emprego.</t>
  </si>
  <si>
    <t>und</t>
  </si>
  <si>
    <t>Respirador semifacial descartável com filtro PFF2(S) Carvão Ativo. Respirador purificador de ar tipo peça semifacial filtrante PFF2 de formato dobrável e sem manutenção, Classe PFF2(S), com camada de carvão ativo, indicado para proteção das vias respiratórias contra poeira e névoas não oleosas, fumos e alívio de odores incômodos provenientes de Vapores Orgânicos em concentrações até o nível de ação (metade do limite de exposição). Fabricado com microfibras sintéticas combinadas em camadas e tratadas eletrostaticamente para reter os materiais particulados presentes no ambiente, eficiência de filtração mínima de 94% contra a penetração de aerossóis particulados não oleosos, possuindo formato tipo concha com válvula de exalação, com duas tiras de elástico sobre presilhas plásticas onde é possível ajustar a pressão do respirador sobre o rosto e um clip metálico para selagem sobre o septo nasal. Certificado de Aprovação do Ministério do Trabalho e Emprego.</t>
  </si>
  <si>
    <t>Respirador semifacial descartável com filtro PFF1(S). Respirador purificador de ar tipo peça semifacial filtrante PFF1 de formato dobrável e sem manutenção, Classe PFF1(S), indicado para proteção das vias respiratórias contra poeira e nevoas não oleosas. Fabricado com microfibras sintéticas combinadas em camadas e tratadas eletrostaticamente para reter apenas os materiais particulados presentes no ambiente, eficiência de filtração mínima de 80% contra a penetração de aerossóis particulados não oleosos, possuindo formato tipo concha com válvula de exalação, com duas tiras de elástico sobre presilhas plásticas onde é possível ajustar a pressão do respirador sobre o rosto e um clip metálico para selagem sobre o septo nasal. Certificado de Aprovação do Ministério do Trabalho e Emprego.</t>
  </si>
  <si>
    <t>Protetor auricular tipo concha com haste sobre a cabeça. Protetor auditivo circum-auricular, tipo concha, composto de duas conchas de material plástico rígido, preenchidas com espumas e almofadas desmontáveis, haste de sustentação em aço inoxidável acima da cabeça, possui espuma na parte superior da haste, pressão da haste ajustável, altura da concha ajustável. Nível de redução de ruído Nrr igual ou superior a 23 dBA. Indicado para proteção auditiva do usuário contra ruídos. Certificado de aprovação do Ministério do Trabalho e Emprego.</t>
  </si>
  <si>
    <t>Protetor auricular de inserção de silicone com cordão. Protetor auditivo do tipo inserção pré-moldado de silicone, tipo plug, possui formato cônico com três flanges, com cordão trançado em algodão, anti-alérgico, atóxico, higiênico, moldável ao canal auditivo (conforto). Nível de redução de ruído NRRsf igual ou superior a 17 dBA. Acompanha caixa plástica com clipe para armazenar o protetor. Indicado para proteção auditiva do usuário contra ruídos. Certificado de aprovação do Ministério do Trabalho e Emprego.</t>
  </si>
  <si>
    <t>Placa de sinalização de piso molhado. Placa de sinalização de segurança produzidas em polipropileno injetado de alta resistência, dobrável, na cor amarela, dimensões mínimas 69cm x 30cm, com informação para advertência de atenção sobre “CUIDADO – PISO MOLHADO” para uso em áreas internas ou externas.</t>
  </si>
  <si>
    <t>Óculos de proteção tipo ampla visão. Óculos de segurança com vedação, modelo ampla-visão, constituídos de armação confeccionada em uma única peça de PVC flexível, com sistema de ventilação indireta composto por fendas, antiembaçante. O ajuste à face do usuário é feito através de um tirante elástico dotado de presilhas plásticas nas extremidades, que se encaixam nas extremidades da armação e visor de policarbonato incolor. Indicado para proteção dos olhos do usuário contra impactos de partículas volantes, raios ultravioletas e respingos de produtos químicos. Certificado de Aprovação do Ministério do Trabalho e Emprego.</t>
  </si>
  <si>
    <t>Óculos de proteção em policarbonato. Óculos de segurança com lentes de policarbonato de alta transparência; sistema antirrisco; sistema antiembaçante; hastes com sistema de regulagem de ângulo e comprimento; hastes com extremidades flexíveis; com apoio nasal e proteção lateral, indicado para proteção dos olhos do usuário contra impactos de partículas volantes multidirecionais. Certificado de Aprovação do Ministério do Trabalho e Emprego.</t>
  </si>
  <si>
    <t>Óculos de proteção  em policarbonato de sobrepor. Óculos de segurança com lentes de policarbonato de alta transparência; sistema antirrisco; sistema antiembaçante hastes resistentes confeccionadas no mesmo material das lentes; permite sobreposição com óculos de grau; com apoio nasal e proteção lateral, indicado para proteção dos olhos do usuário contra impactos de partículas volantes multidirecionais. Certificado de Aprovação do Ministério do Trabalho e Emprego.</t>
  </si>
  <si>
    <t>Mascara tipo cirúrgica descartável em TNT. Máscara descartável tripla com clips nasal e elástico. Embalagem c/ 50 unidades. Confeccionado em TNT - Tecido Não Tecido 100% polipropileno Atóxica. Dispõe lateralmente dois elásticos do tipo roliço recobertos com algodão, que se destinam ao apoio e a ajustes à face e que se prendem atrás da orelha de usuários, A máscara é confeccionada no estilo retangular, tamanho único, inteiramente em TNT, com acabamento em toda a extremidade por soldagem eletrônica. Com certificação da ANVISA.</t>
  </si>
  <si>
    <t>Manga em tecido para proteção do braço e antebraço. Manga em tecido para proteção do braço contra os efeitos da radiação solar, confeccionada em poliamida e elastano. Proteção UV, com fator de proteção FP50+, adequada para exposição a radiação solar. Modelo manga longa, maleável, leve, resistente e flexível. Secagem rápida de transpiração.</t>
  </si>
  <si>
    <t>Luva tricotada de algodão 4 fios pigmentada. Luva de segurança tricotada confeccionada em algodão antialérgico com punho, com 4 fios na trama e palma pigmentada em PVC que proporcionam maior aderência e proteção de arestas. Os pigmentos em PVC não devem ser de material reciclado, aderidos firmemente aos fios, não devem soltar facilmente. Indicada para proteção do usuário contra agentes mecânicos. Certificado de Aprovação do Ministério do Trabalho e Emprego.</t>
  </si>
  <si>
    <t>Luva em vaqueta cano curto. Luva de segurança confeccionada com vaqueta curtida ao cromo, com formato de cinco dedos, com reforço na palma, reforço de costura entre o polegar e o indicador e entre os dedos anelares, costura com linha de nylon. Indicada para proteção o usuário contra agentes abrasivos, escoriantes, cortantes e perfurantes.. Certificado de Aprovação do Ministério do Trabalho e Emprego.</t>
  </si>
  <si>
    <t>Luva em raspa de couro cano longo. Luva de segurança, confeccionada em raspa de couro, tira de reforço externo em raspa entre os dedos polegar e indicador, punho longo 20cm. Indicada para proteção das mãos do usuário contra agentes abrasivos, escoriantes, cortantes e perfurantes. Certificado de Aprovação do Ministério do Trabalho e Emprego.</t>
  </si>
  <si>
    <t>Luva em PVC com forro e palma áspera. Luva de segurança confeccionada em suporte têxtil de algodão, revestimento externo total em PVC (Policloreto de Vinila) com acabamento áspero antiderrapante na face palmar, extremidade dos dedos e dorso, comprimento 35cm. Indicada para proteção das mãos do usuário contra agentes abrasivos, escoriantes, cortantes e perfurantes e contra agentes químicos, tais como: agressivos ácidos, agressivos básicos, detergentes, sabões, amoníacos e similares, hidrocarbonetos aromáticos, álcoois e ácidos orgânicos. Certificado de Aprovação do Ministério do Trabalho e Emprego.</t>
  </si>
  <si>
    <t>Luva de procedimentos confeccionada em látex. Luva de procedimentos confeccionada em látex natural; tamanho médio; caixa com 100 luvas; anatômica, ambidestra; lubrificada com pó bioabsorvível; atóxica; descartável e de uso único. Indicada para proteção das mãos do usuário nos procedimentos médicos e de enfermagem. Certificado de Aprovação do Ministério do Trabalho e Emprego.</t>
  </si>
  <si>
    <t>Luva de malha para coleta de lixo. Luva de malha em suporte têxtil 100% algodão com banho em látex verde corrugado e punho elástico em malha. Revestimento de alta qualidade que proporciona melhor aderência. Dorso ventilado que oferece melhor respiração e conforto. Boa resistência à abrasão e ao rasgo. Formato anatômico com estrutura corrugada. Indicada para atividades de coleta de lixo. Certificado de Aprovação do Ministério do Trabalho e Emprego.</t>
  </si>
  <si>
    <t>Luva de borracha nitrílica forrada para agentes químicos. Luva de segurança, confeccionada em látex nitrílico, forrada internamente com flocos de algodão, impermeável, acabamento antiderrapante na face palmar e pontas dos dedos, formato anatômico, 35cm. Indicado para proteção das mãos do usuário contra agentes abrasivos, escoriantes, cortantes e perfurantes e contra agentes químicos. Certificado de Aprovação do Ministério do Trabalho e Emprego.</t>
  </si>
  <si>
    <t>Fita de sinalização de segurança zebrada. Fita de sinalização zebrada usada para demarcação de áreas de trabalho, cor amarelo e preto, rolo 200 metros.</t>
  </si>
  <si>
    <t>Creme protetor solar FPS mínimo 30. Creme protetor solar com fator de proteção mínimo 30, resistente a água e suor, hipoalergênico. Bisnaga de 120ml. Oferece alta proteção a pele contra efeitos nocivos da radiação solar, mantendo o usuário protegido das queimaduras solares e câncer de pele. Com propriedades antioxidantes e ação hidratante.</t>
  </si>
  <si>
    <t>Cone de sinalização em PVC com faixa refletiva 75cm. Cone de sinalização de segurança em PVC, 75 cm de altura, cor laranja, com faixa refletiva.</t>
  </si>
  <si>
    <t>Chapéu tipo australiano com protetor de nuca. Chapéu tipo australiano, confeccionada com poliamida com proteção FPU50+ com protetor na parte traseira para proteção do crânio, pescoço e ombro do usuário contra a radiação solar e agentes abrasivos e escoriantes. Com aba total. Alça de fixação para o queixo evita a queda do chapéu com vento forte. Cor a definir.</t>
  </si>
  <si>
    <t>Capa de segurança contra chuva. Capa de segurança contra chuva confeccionada em PVC com forro de poliéster, impermeável, mangas longas, capuz, cor amarela, fechamento frontal com quatro botões plásticos de pressão, costuras através de solda eletrônica. Indicado para proteção do tronco e membros superiores do usuário contra umidade proveniente de operações com uso de água e contra agentes meteorológicos. Certificado de Aprovação do Ministério do Trabalho e Emprego.</t>
  </si>
  <si>
    <t>Botina de segurança com biqueira de aço. Calçado de segurança, tipo botina, fechamento em elástico, confeccionado em confeccionado em couro curtido ao cromo, palmilha de montagem em material sintético montada pelo sistema strobel, biqueira de aço, solado de poliuretano bidensidade antiderrapante injetado diretamente no cabedal, resistente ao óleo combustível. Indicado para proteção dos pés do usuário contra impactos de quedas de objetos sobre os artelhos e contra agentes abrasivos e escoriantes. Certificado de Aprovação do Ministério do Trabalho e Emprego.</t>
  </si>
  <si>
    <t>Bota em PVC cano médio antiderrapante. Calçado de segurança, tipo bota, confeccionada em policloreto de vinila (PVC), com forro, impermeável, cano médio, sem biqueira, solado antiderrapante, resistente a flexão, tração e abrasão, reforço para proteção dos tornozelos e calcanhar, com resistência química, resistência a óleo combustível. Indicada para proteção dos pés do usuário contra riscos de natureza leve, contra agentes abrasivos e escoriantes, contra umidade proveniente de operações com uso de água e contra riscos de origem química. Certificado de Aprovação do Ministério do Trabalho e Emprego.</t>
  </si>
  <si>
    <t>Item</t>
  </si>
  <si>
    <t>Secador de Mãos Automático com no mínimo 1800W com Sensor 220V Volts Certificado pelo INMETRO. 25 x 24 x 23 cm. Temperatura do Ar: 45 a 60°C</t>
  </si>
  <si>
    <t>Carro Industrial usado para transporte de cargas em geral do tipo plataforma de 1500 x 800 mm, Capacidade de Carga de 600 Kg. a. Cabo em T para manobras com freio. Estrutura Metálica em Aço Carbono. Soldagem pelo processo: MIG/MAG. Pintura a Pó Eletrostática. Assoalho Metálico. Medida da Plataforma: 1500 x 800 mm. Altura da Plataforma: 400 mm. Altura do Cabo: 1000 mm.</t>
  </si>
  <si>
    <t>Carro funcional para limpeza. Possui corpo em polipropileno; saco para recolhimento de lixo produzido em vinil com capacidade para 200 litros; tampa com espaço para consicionamento</t>
  </si>
  <si>
    <t xml:space="preserve">Carrinho-de-mão extraforte com braço metálico e caçamba metálica em aço rasa redonda de 0,45 mm (chapa 26).  Capacidade para 50 litros e 100kg de carga, roda com pneu e câmara. </t>
  </si>
  <si>
    <t>Aspirador de pó e líquidos, 20L 1400W. Potência: 1400W. Tensão: 220v. Capacidade do Recipiente: 20L. Motor: 1 estágio. Mangueira: 1,5m. Cabo elétrico: 5m. Itens inclusos: bocal de sopro, cabo elétrico de 5 metros, aspira sólidos e líquidos, utiliza 3 filtros (filtro de papel, filtro pano, filtro permanente), possui rodas, alças e bóia de água, porta-acessórios. Marca/modelo de referência: Wap/GT Profi ou similar ou superior.</t>
  </si>
  <si>
    <t>Veneno para formiga inseticida em pó embalagem com 200 gramas</t>
  </si>
  <si>
    <t xml:space="preserve">Vassourão de Nylon 40cm com Cabo de Madeira 120cm </t>
  </si>
  <si>
    <t>Vassoura tipo escovão 30 cm cabo de madeira</t>
  </si>
  <si>
    <t>Vassoura Pelo Sintético 40cm Base e Cabo de Madeira 1,20m</t>
  </si>
  <si>
    <t xml:space="preserve">Vassoura Nylon 30cm Cabo de Madeira Plastificado com altura de  1,20m </t>
  </si>
  <si>
    <t>Vassoura metálica 22 dentes com cabo de 120 cm.</t>
  </si>
  <si>
    <t>Vassoura Limpa Teto com Cabo de Madeira 2m</t>
  </si>
  <si>
    <t>Vassoura Gari Piaçava 60cm com Cabo de 150cm</t>
  </si>
  <si>
    <t>Vassoura de piaçava padrão 4 com cabo e capa plástica</t>
  </si>
  <si>
    <t>Vassoura Ancinho Plástica com Cabo (ciscador plástico)</t>
  </si>
  <si>
    <t>Transplantador regulável para bulbos e mudas</t>
  </si>
  <si>
    <t>Touca descartável em polipropileno, branca, c/ elástico, pacote com 100 und.</t>
  </si>
  <si>
    <t>Tesoura para cortar grama. Tamanho: 12". Cabo de madeira envernizado.</t>
  </si>
  <si>
    <t>Tesoura para cerca viva/grama 12" com cabo de madeira</t>
  </si>
  <si>
    <t xml:space="preserve">Tambor para lixo externo tipo Bombona Plástica capacidade 200 litros fabricada em Polietileno com 01 tampa de rosca. </t>
  </si>
  <si>
    <t xml:space="preserve">Saco plástico p/ lixo 60 litros - PACOTE COM 100 SACOS. Reforçado - Espessura 0.10 micras. </t>
  </si>
  <si>
    <t xml:space="preserve">Saco plástico p/ lixo 40 litros - PACOTE COM 100 SACOS. Reforçado - Espessura 0.10 micras. </t>
  </si>
  <si>
    <t>Saco plástico p/ lixo 200 litros - PACOTE COM 100 SACOS.  Reforçado - Classe 1 - Tipo E - Super Resistente</t>
  </si>
  <si>
    <t xml:space="preserve">Saco plástico p/ lixo 20 litros - PACOTE COM 100 SACOS. Reforçado - Espessura 0.10 micras. </t>
  </si>
  <si>
    <t xml:space="preserve">Saco plástico p/ lixo 100 litros - PACOTE COM 100 SACOS. Dimens.es 80 x 90 cm ou 75x105cm. Refor.ado - Espessura 0.10 micras. </t>
  </si>
  <si>
    <t>Sabonete líquido concentrado neutro, antisséptico, para as mãos, perfumado. Com uma formulação balanceada, permite uma lavagem fácil e rápida, deixando as mãos macias e suavemente perfumadas. Características Físico - Químicas: Líquido viscoso, verde, com suave aroma (aromas variados), pH 7, biodegradável, não inflamável, não tóxico e não irritante para as mãos e pele. Bombona de 5 litros</t>
  </si>
  <si>
    <t xml:space="preserve">Sabão em barra glicerinado, pacote com 5 barras de 200g </t>
  </si>
  <si>
    <t>Sabão de coco Pacote com 5 barras de 200gr.</t>
  </si>
  <si>
    <t>Rodo Plástico Push 40cm com Borracha Dupla e Cabo de 120cm</t>
  </si>
  <si>
    <t>Rodo para pia em polipropileno 16 cm</t>
  </si>
  <si>
    <t>Ajax</t>
  </si>
  <si>
    <t>Roda pneumática 3.25-8 eixo 3/4” polegadas 2 lonas 120kg</t>
  </si>
  <si>
    <t>REFIL CARRETEL FIO DE NYLON PARA APARADORES DE GRAMA ELÉTRICO, 8M DE FIO 1,8MM, COMPATÍVEL COM OS MODELOS USADOS NO CAMPUS</t>
  </si>
  <si>
    <t>Querosene, em embalagem com no mínimo 900ml</t>
  </si>
  <si>
    <t>Pulverizador costal com acionamento por alavanca, marca de referência Guarany, para uso profissional e Capacidade 10 litros.</t>
  </si>
  <si>
    <t>Podador com Cabo Madeira 150Cm</t>
  </si>
  <si>
    <t>Pneu 3,50 x 8". Aplicação: carrinho de mão e carro plataforma.</t>
  </si>
  <si>
    <t>Picareta Pá Larga e Machadinho - Chibanca com cabo de madeira resistente com 90 cm. Produzidas em aço carbono de alta qualidade, temperado. Pintura eletrostática a pó.</t>
  </si>
  <si>
    <t>Picareta Estreita 4 Libras Cabo 90cm com olho de 70x45mm</t>
  </si>
  <si>
    <t>Pazinha larga profissional para jardim</t>
  </si>
  <si>
    <t>Pastilha sanitária adesiva (aromas variados) com 3 unidades</t>
  </si>
  <si>
    <t>Papel toalha, tipo bobina, rolo com 200m, embalagem com 6 unidades.</t>
  </si>
  <si>
    <t>Papel toalha branco de 1ª qualidade, com alto poder de absorção, interfolhado, 23x21cm (aproximadamente), com duas dobras, fardo com 1000 folhas, separados em pacotes de 250 folhas.  100% celulose virgem.</t>
  </si>
  <si>
    <t xml:space="preserve">Papel Higiênico em Rolo, folha simples - 300m, branco extra luxo, fabricado com 100% celulose virgem, alta qualidade, embalado em caixa de papelão com 8 rolos de 300m, com 2400 metros. Extrato de Algodão.  </t>
  </si>
  <si>
    <t>Papel higiênico duplo de 1ª qualidade, branco, picotado, fardo com 64 rolos de 30 m.registrado junto ao Inmetro.</t>
  </si>
  <si>
    <t>Pano multiuso tipo perfex - rolo com 30m picotado</t>
  </si>
  <si>
    <t>PANO DE PRATO CONFECCIONADO EM 100% ALGODÃO, ATOALHADO LISO, COM BAINHA, MEDINDO 40 X 63CM</t>
  </si>
  <si>
    <t>PANO DE CHÃO ALVEJADO TIPO A, MEDIDAS 50X70CM, material 100% algodão</t>
  </si>
  <si>
    <t>Palha de aço grossa N 02 (pacote com 02 unid.)</t>
  </si>
  <si>
    <t xml:space="preserve">Pá quadrada com cabo de madeira de 74 cm e com terminação "Y" metálica  - com cabo </t>
  </si>
  <si>
    <t>Pá coletora de lixo simples em alumínio ou zinco c/ largura de 30 cm e altura de 10 cm - cabo em chapa de aço c/ altura de 80 cm</t>
  </si>
  <si>
    <t>Pá coletora de lixo com tampa, cabo 80 cm</t>
  </si>
  <si>
    <t>Odorizador de ambiente em aerossol, 360ml</t>
  </si>
  <si>
    <t>NAFTALINA EM BOLAS, PACOTE COM 30 GRAMAS, Grau de pureza mínima 95%</t>
  </si>
  <si>
    <t>Mop Úmido/Líquido - refil da cabeleira na cor azul (Ref Comercial RS70AZ ou similar)</t>
  </si>
  <si>
    <t>Mop Pó refil 60 cm (referencia comercial RE 600 ou similar)</t>
  </si>
  <si>
    <t xml:space="preserve">Mop Pó - conjunto completo (cabo de alumínio + armação + refil 60 cm) - (Ref. Comercial RMF600). Confeccionado em microfibra com cabo extensor em alumínio e giro de 360°. </t>
  </si>
  <si>
    <t xml:space="preserve">Mop Liquido/Umido - conjunto completo (cabo de alumínio + armação + refil 60 cm) - (Ref. Comercial RMF700). Confeccionado em microfibra com cabo extensor em alumínio e giro de 360°. </t>
  </si>
  <si>
    <t>Mangueira para irrigação com microfuros a lazer, com furos de 20 em 20cm, com 100m</t>
  </si>
  <si>
    <t>Mangueira de jardim, material PVC, ¾” com 50 m</t>
  </si>
  <si>
    <t xml:space="preserve">Machado Lenhador fabricado em aço forjado e temperado e tem cabo de madeira de 1 metro. Cabo em madeira. Lâmina em aço SAE 1045. Tamanho do cabo: 100 cm. Tamanho Machado </t>
  </si>
  <si>
    <t>Lustra móvel - frasco com 500ml</t>
  </si>
  <si>
    <t>LIMPADOR PÓS-OBRA. Desenvolvido para limpeza das sujeiras superficiais do pós-obra, a qual deixa resíduos típicos, tais como excesso de rejunte, argamassa, cimento, gesso e terra. Emabalagem de 5 litros</t>
  </si>
  <si>
    <t>Limpador de vidros. Rodo limpa vidros telescópico, com cabo extensor de 3,10m, que pode ser reduzido a 1,25m. O rodo possui régua flanela para utilizar com água e detergente na sujeira da vidraça e régua de borracha para puxar a água e secar a vidraça.</t>
  </si>
  <si>
    <t>Limpador de Vidro Magnético Janela</t>
  </si>
  <si>
    <t>LIMPADOR DE USO GERAL. Limpador de uso geral concentrado, à base de peróxido de hidrogênio e tensoativos biodegradáveis. Possui excelentes propriedades de alvejamento e alto poder oxidante capaz de eliminar moléculas de maus odores, neutralizando-as. Alta concentração de ativo: teor de Peróxido (H2O2): 7,50% - 9,00%. Diluir em até: 1:200. Embalagem de 5 Litros.</t>
  </si>
  <si>
    <t>Limpa Alumínio de 5lts, de alta concentração. Diluição 1:10</t>
  </si>
  <si>
    <t>Limitador para grama com altura de 11cm. Peça com 50m</t>
  </si>
  <si>
    <t xml:space="preserve">Irrigador Giratório com Base e 3 Jatos </t>
  </si>
  <si>
    <t>Inseticida aerosol, 400ml.</t>
  </si>
  <si>
    <t>Hipoclorito de sódio, bombona com 5 litros, concentrado, 4 a 6% de cloro ativo.</t>
  </si>
  <si>
    <t>Fórmula Secante Máquinas De Lavar Louça Secca 5l</t>
  </si>
  <si>
    <t xml:space="preserve">Foice para Pasto com Cabo de Eucalipto. Dimensões aproximadas: Comprimento total 425,0 mm; Tamanho da Abertura da lâmina 308,0 mm; Distância entre a ponta da lâmina ao cabo 422,0 mm. Peso: 260 gramas. </t>
  </si>
  <si>
    <t>FIBRA ABRASIVA. Produto à base de fibras sintéticas e mineral abrasivo unido por resina à prova d'água, tipo fibraço, para limpeza super pesada. DIMENSÕES :125 mm x 87mm x 24mmAplicação: limpeza pesada, como remoção de crostas de panelas. .Características adicionais: Ausência de resíduos que contaminam os alimentos.</t>
  </si>
  <si>
    <t>Facão tipo CANAVIEIRO - 20" COM CABO 300MM</t>
  </si>
  <si>
    <t>Evita mofo Características do Antimofo Secar Premium Refi 180g Fabricado em cristais de sílica (cloreto de cálcio) Tampa com furos para absorver a umidade Disponível nas fragrâncias neutra, kids ou lavanda,  aparelho + refil</t>
  </si>
  <si>
    <t xml:space="preserve">Estrovenga leve, com olho de 29 mm de diâmetro, pintura em verniz transparenteLeve com cabo de madeira. </t>
  </si>
  <si>
    <t>Essência de aromas variados, com 100 ml (LAVANDA)</t>
  </si>
  <si>
    <t>Esponja dupla face ação antibacteriano que não risca pacote com 3 unidades.</t>
  </si>
  <si>
    <t>ESPONJA DE LÃ DE AÇO fina, PACOTE 60G COM 8UND</t>
  </si>
  <si>
    <t>Espanador Vassoura Limpa Tudo Fibra Sisal Natural Original</t>
  </si>
  <si>
    <t>Espanador plástico multiuso 280 x 40 mm</t>
  </si>
  <si>
    <t>Espanador Pena de Avestruz - minimo de 35 cm</t>
  </si>
  <si>
    <t>Escovão de mão c/ cabo para azulejos e cantinhos, cerdas nylon</t>
  </si>
  <si>
    <t xml:space="preserve">Escova Sanitária com Suporte </t>
  </si>
  <si>
    <t>Escova de nylon 510mm para enceradeira profissional, compatível com o modelo de enceradeira que está sendo adquirido.</t>
  </si>
  <si>
    <t>Escova de nylon 350mm para enceradeira profissional, compatível com o modelo de enceradeira que está sendo adquirido.</t>
  </si>
  <si>
    <t>Escova de mão multiuso, com alça anatômica, dimensões 14,5 x 6 x 8,2 cm.</t>
  </si>
  <si>
    <t>Dispenser Multiplo Higiênico para papel Toalha inferfolhada. Composto plástico transparente especial com alta resistência ao impacto. Capacidade para 1000 folhas</t>
  </si>
  <si>
    <t>DETERGENTE PARA LIMPEZA EM AMBIENTE HOSPITALAR. Detergente neutro, composto de tensoativos aniônicos, ideal para a limpeza de hospitais e casas de saúde, ambulatórios, consultórios odontológicos, clínicas e postos de saúde. Possui Tensoativos Biodegradáveis. Embalagem 5 litros</t>
  </si>
  <si>
    <t>Detergente líquido profissional para máquina de lavar louça, bombona com 5 litros. Possui baixa formação de espuma e alto poder de remoção de resíduos alimentares e gordurosos.</t>
  </si>
  <si>
    <t>Detergente liquido neutro lava louça 500ml</t>
  </si>
  <si>
    <t>Detergente em gel biodegradável de 5lts para piso de alta concentração - Produto neutro e desengordurante.  Diluição 1:200. De alto poder desengraxante, de uso geral, desenvolvido para a lavagem manual ou automatizada de qualquer superfície lavável.</t>
  </si>
  <si>
    <t>Detergente desincrustante alcalino, de alta concentração, bombona com 5 litros. Aplicação: remoção de graxas, óleos e gorduras carbonizadas de equipamentos de cozinhas profissionais.</t>
  </si>
  <si>
    <t>Detergente alcalino clorado em gel de 5lts para piso de alta concentração - Produto neutro e desengordurante.  Diluição 1:100. De alto poder sanitizante e desengordurante.</t>
  </si>
  <si>
    <t>DESENTUPIDOR LIQUIDO. Produto ecológico com enzimas alcalina. Utilizado em Pias, ralos, vasos sanitários, caixa de gordura etc. Tempo de espera: o desentupimento ocorrerá em até 6 horas após dar descargas para limpar a tubulação. Eficácia: o desentupidor tem ação plena em até 8m da entrada dos líquidos. Seu uso preventivo é altamente recomendado de 8 em 8 meses. Embalagem de 5 Litros.</t>
  </si>
  <si>
    <t>Cupinicida liquida</t>
  </si>
  <si>
    <t>Cupinicida incolor aerosol, embalagem com 400ml.</t>
  </si>
  <si>
    <t>Corda Trançada Nylon 10mmX219m Azul/Preta</t>
  </si>
  <si>
    <t>Cesto p/ Lixo Telado de Plastico 10 Lts</t>
  </si>
  <si>
    <t>Cesto p/ Lixo plástico com tampa vai e vem basculante na cor verde de 100 litros.</t>
  </si>
  <si>
    <t>Cera líquida incolor, para pisos, bombona de 5l</t>
  </si>
  <si>
    <t>Balde plástico de 20 litros, dimensões aproximadas de 35x34cm, com alça de ferro com batoque.</t>
  </si>
  <si>
    <t>Balde plástico com tampa de 30L, dimensões aproximadas de 38,4x37,6cm, com alça de ferro com batoque, Tampa hermética.</t>
  </si>
  <si>
    <t>Arrancador de inço com cabo de madeira</t>
  </si>
  <si>
    <t>Aromatizante/Odorizador Automotivo 8ml, aromas variados</t>
  </si>
  <si>
    <t>Ancinho Curvo Robusto 12 Dentes Cabo De Madeira 120cm Ramada
- Fabricado em aço carbono especial de alta qualidade.
- Possui 2,65 mm de espessura.
- Possui 12 dentes.</t>
  </si>
  <si>
    <t>ÁLCOOL ETÍLICO LIMPEZA DE AMBIENTES, TIPO GEL HIDRATADO, APLICAÇÃO LIMPEZA, CONCENTRAÇÃO 75% INPM. GALÃO DE 5,00 L</t>
  </si>
  <si>
    <t>Álcool Etílico Hidratado 70% frasco com 1000 ML - APRESENTAÇÃO LÍQUIDO</t>
  </si>
  <si>
    <t>Adaptador para Mangueira Engate Rosqueado  ¾ para jardim</t>
  </si>
  <si>
    <t>Ácido muriático 1 L - ÁCIDO CLORÍDRICO\, ASPECTO FÍSICO:LÍQUIDO LÍMPIDO\, INCOLOR À LEVEMENTE AMARELADO, TEOR MÍNIMO DE 30%, MICA CAS 7647-01-0</t>
  </si>
  <si>
    <t>Qtde.</t>
  </si>
  <si>
    <t>RN000083/2024</t>
  </si>
  <si>
    <t>01/01/2024 a 31/12/2024</t>
  </si>
  <si>
    <t>Multa FGTS sobre Aviso Prévio Trabalhado</t>
  </si>
  <si>
    <t>Tipo de Serviço: Servente de Limpeza de CBO: 5143-20</t>
  </si>
  <si>
    <t>Unidade de Medida: Posto Mês - Contrato de 12 meses - Quantidade a contratar: 07</t>
  </si>
  <si>
    <t>Tipo de Serviço: Encarregado de CBO: 4101-05</t>
  </si>
  <si>
    <t xml:space="preserve"> Unidade de Medida: Posto Mês - Contrato de 12 meses - Quantidade a contratar: 01</t>
  </si>
  <si>
    <t>Tipo de Serviço: Servente de Limpeza - Insalubridade de CBO: 5143-20</t>
  </si>
  <si>
    <t xml:space="preserve"> Unidade de Medida: Posto Mês - Contrato de 12 meses - Quantidade a contratar: 02</t>
  </si>
  <si>
    <t>ASG</t>
  </si>
  <si>
    <t>posto(s)</t>
  </si>
  <si>
    <t>Valor anual estim. (R$)</t>
  </si>
  <si>
    <t>Valor mensal por posto (R$)</t>
  </si>
  <si>
    <t>Descrição</t>
  </si>
  <si>
    <t>Marca (s) de referência</t>
  </si>
  <si>
    <t>Unid. de fornec.</t>
  </si>
  <si>
    <t>Qtde. anual total *</t>
  </si>
  <si>
    <t>Valor unit. (R$) *</t>
  </si>
  <si>
    <t>Valor anual total (R$) *</t>
  </si>
  <si>
    <t>APÊNDICE I</t>
  </si>
  <si>
    <t>Levorin</t>
  </si>
  <si>
    <t>Galão</t>
  </si>
  <si>
    <t>BOBINA 2KG DE FIO NYLON 3,0MM PARA ROÇADEIRA</t>
  </si>
  <si>
    <t>Bombona</t>
  </si>
  <si>
    <t>Corda de Seda Poliéster Trançada 06mm x 15 metros</t>
  </si>
  <si>
    <t>Desinfetante liquido 5lts (aromas variados) - a base de quaternário de amônio, altamente concentrado, de baixa toxicidade. Diluição 1:200. É indicado para limpeza e desinfecção. Superfícies contaminadas: como pisos em geral, ralos, vasos sanitários, latas de lixo, maçanetas, telefones, balcões, etc.</t>
  </si>
  <si>
    <t>bombona</t>
  </si>
  <si>
    <t>pct</t>
  </si>
  <si>
    <t>Flanela tamanho médio 40cmx50cm</t>
  </si>
  <si>
    <t xml:space="preserve">Inseticida piretróide com ação de choque e residual; - Ideal para controle de baratas, moscas, mosquitos, traças e cupins e brocas-de-madeira; - Também atua no controle de moscas (larvas e adultos) e insetos rasteiros,  250mL.
</t>
  </si>
  <si>
    <t>K-otrine</t>
  </si>
  <si>
    <t>Limpa Inox de 5lts, de alta concentração. Diluição 1:20</t>
  </si>
  <si>
    <t>Limpador Instantâneo de Quadro Branco Spray 60ml (1 Frasco 60ml + 1 Flanela)</t>
  </si>
  <si>
    <t>Lixeira com tampa de Pedal 20 L Branca</t>
  </si>
  <si>
    <t>fardo</t>
  </si>
  <si>
    <t>Raspador/enxada com haste e luva 7" com cabo longo de madeira de 120 cm</t>
  </si>
  <si>
    <t>Rodo metálico de 1 metro com cabo, profissional. Extra Grande Reforçado</t>
  </si>
  <si>
    <t>Sabão líquido para lavar roupas concentrado - 5 lt.</t>
  </si>
  <si>
    <t>Total anual</t>
  </si>
  <si>
    <t>WAP</t>
  </si>
  <si>
    <t>wap</t>
  </si>
  <si>
    <t>Intelbras / Motorola</t>
  </si>
  <si>
    <t>Rolo</t>
  </si>
  <si>
    <t>Touca sanfonada descartável em polipropileno. Touca confeccionada em tecido não tecido (TNT), 100% polipropileno, material descartável, atóxico, hipoalérgico, gramatura mínima 20g/m2, sanfonada, branca, possuindo elástico duplo costurado nas extremidades. Indicado para cobrir a região craniana ou couro cabeludo, evitando contaminações cruzadas. Pacote com 100 unidades</t>
  </si>
  <si>
    <t>Luva plástica descartável. 
Luva plástica produzida em filme de polietileno. Modelo cinco dedos. Indicada para uso em cozinhas industriais, restaurantes, lanchonetes, confeitarias. Lado externo áspero. Descartável. Caixa com 100 unidades. Indicada para manipular alimentos em geral, secos ou molhados, tinturas capilares, limpeza doméstica, entre outros.</t>
  </si>
  <si>
    <t xml:space="preserve">PESQUISA DE FARDAMENTO </t>
  </si>
  <si>
    <t>QUANTIDADE DE POSTOS: 09 ASG + 1 ENCARREGADO</t>
  </si>
  <si>
    <t>item</t>
  </si>
  <si>
    <t>Descrição do item</t>
  </si>
  <si>
    <t>Semestral</t>
  </si>
  <si>
    <t>Anual</t>
  </si>
  <si>
    <t>Mediana pesquisada</t>
  </si>
  <si>
    <t>Valor por posto</t>
  </si>
  <si>
    <t>CAMISETA MANGA CURTA, COR A DEFINIR.</t>
  </si>
  <si>
    <t>CALÇA, MATERIAL POLIÉSTER, MODELO SOCIAL</t>
  </si>
  <si>
    <t>MEIA CANO MÉDIO (ALTURA DE 6 A 10 CM), MASCULINA, LISA</t>
  </si>
  <si>
    <t>CRACHÁ EM PVC, tamanho 8,5 x 5,4mm,</t>
  </si>
  <si>
    <t>Calçados fechados na cor preta, solado baixo, com palmilha antibacteriana.MEIA CANO MÉDIO (ALTURA DE 6 A 10 CM), MASCULINA, LISA</t>
  </si>
  <si>
    <t>Luvas de borracha (PAR)</t>
  </si>
  <si>
    <t>Botas de polimérico termoplástico impermeável com forro, emborrachado, solado antiderrapante (PAR)</t>
  </si>
  <si>
    <t>Total Anual (A)</t>
  </si>
  <si>
    <t>Total Mensal (B)=A/12</t>
  </si>
  <si>
    <t>Total mensal por posto (C)=B/10</t>
  </si>
  <si>
    <t>A7. BANHEIROS (Estima-se insalubre)</t>
  </si>
  <si>
    <t>PRODUTIVIDADE A7 (200 a 300) EM M² (Estima-se insalubridade)</t>
  </si>
  <si>
    <t>C.1. Tributos Federais (PIS 0,65%)</t>
  </si>
  <si>
    <t>C.1. Tributos Federais (COFINS 3,00%)</t>
  </si>
  <si>
    <t>CBO</t>
  </si>
  <si>
    <t>DESCRIÇÃO DAS ATIVIDADES</t>
  </si>
  <si>
    <t>Executam serviços de manutenção elétrica, mecânica, hidráulica, carpintaria e alvenaria, substituindo, trocando, limpando, reparando e instalando peças, componentes e equipamentos, conservam vidros e fachadas, limpam recintos e acessórios e tratam de piscinas. Trabalham seguindo normas de segurança, higiene, qualidade e proteção ao meio ambiente.</t>
  </si>
  <si>
    <t>5143-20 (SERVENTE DE
LIMPEZA)</t>
  </si>
  <si>
    <t>5143-20 (SERVENTE DE
LIMPEZA-INSALUBRE)</t>
  </si>
  <si>
    <t>4101-05 (ENCARREGADO)</t>
  </si>
  <si>
    <t>Supervisionam rotinas administrativas em instituições públicas e privadas, chefiando diretamente equipe de escriturários, auxiliares administrativos, secretários de expediente, operadores de máquina de escritório e contínuos. Coordenam serviços gerais de malotes, mensageiros, transporte, cartório, limpeza, terceirizados, manutenção de equipamento, mobiliário, instalações etc; administram recursos humanos, bens patrimoniais e materiais de consumo; organizam documentos e correspondências; gerenciam equipe. Podem manter rotinas financeiras, controlando fundo fixo (pequeno caixa), verbas, contas a pagar, fluxo de caixa e conta bancária, emitindo e conferindo notas fiscais e recibos, prestando contas e recolhendo impostos.</t>
  </si>
  <si>
    <t>Requisitos/perfis profissionais para a realização dos serviços:</t>
  </si>
  <si>
    <t>SERVENTE DE LIMPEZA e
SERVENTE DE LIMPEZA (INSALUBRE)</t>
  </si>
  <si>
    <t>ENCARREGADO</t>
  </si>
  <si>
    <t>Os serventes de limpeza deverão ter, no mínimo, escolaridade ensino fundamental I, para que estes consigam ler os rótulos dos materiais que devem ser utilizados cotidianamente, além de conseguir ler e interpretar materiais escritos de capacitação ou comunicados, avisos ou advertências que a empresa faça a(o) mesma (o).</t>
  </si>
  <si>
    <t>Ensino Médio concluído, comprovado por certificado emitido por Instituição de senso legalmente credenciada ao Ministério da Educação e Conhecimentos básicos de informática, especialmente na utilização de softwares para escritório, edição de texto, planilhas de cálculos, navegação na internet e correio eletrônico.</t>
  </si>
  <si>
    <t xml:space="preserve">CATEGORIA </t>
  </si>
  <si>
    <t>Nº DE SUPERVISIONADOS</t>
  </si>
  <si>
    <t>ESTIMATIVA DE ENCARREGADO</t>
  </si>
  <si>
    <t>Número de
registro
da CCT no TEM</t>
  </si>
  <si>
    <t>Sindicatos envolvidos</t>
  </si>
  <si>
    <t>Vigência</t>
  </si>
  <si>
    <t>Data-base</t>
  </si>
  <si>
    <t xml:space="preserve">e </t>
  </si>
  <si>
    <t>1/01/2024 a 13/12/2024</t>
  </si>
  <si>
    <t>01 de janeiro</t>
  </si>
  <si>
    <t>SINDICATO DAS EMPRESAS DE ASSEIO, CONSERVAÇÃO E LIMPEZA URBANA PUBLICA E PRIVADA DO ESTADO DO RIO GRANDE DO NORTE -SEAC/RN, CNPJ n. 40.756.462/0001-58</t>
  </si>
  <si>
    <t>SINDICATO DOS TRABALHADORES EM ASSEIO, CONSERVAÇÃO, HIGIENIZAÇÃO E LIMPEZA URBANA DO ESTADO DO RIO GRANDE DO NORTE -SINDLIMP, CNPJ n. 24.192.916/0001-59.</t>
  </si>
  <si>
    <t>PRODUTIVIDADE ADOTADA</t>
  </si>
  <si>
    <t>Grupo</t>
  </si>
  <si>
    <t>Descrição detalhada</t>
  </si>
  <si>
    <t>Catser</t>
  </si>
  <si>
    <t>Und.</t>
  </si>
  <si>
    <t>Qtd. Anual</t>
  </si>
  <si>
    <t>Qtd. 5 anos</t>
  </si>
  <si>
    <t>Prestação de serviço de limpeza e conservação - áreas internas - 44 horas semanais diurnas - PISOS ACARPETADOS</t>
  </si>
  <si>
    <t>Prestação de serviço de limpeza e conservação - áreas internas - 44 horas semanais diurnas - LABORATÓRIOS</t>
  </si>
  <si>
    <t>Prestação de serviço de limpeza e conservação - áreas internas - 44 horas semanais diurnas - ALMOXARIFADOS/ GALPÕES</t>
  </si>
  <si>
    <t>Prestação de serviço de limpeza e conservação - áreas internas - 44 horas semanais diurnas - ÁREAS LIVRES (SAGUÃO, HALL E SALÃO)</t>
  </si>
  <si>
    <t>Prestação de serviço de limpeza e conservação - áreas internas - 44 horas semanais diurnas - BANHEIROS INSALUBRES</t>
  </si>
  <si>
    <t>Prestação de serviço de limpeza e conservação - áreas externas - 44 horas semanais diurnas - PISOS PAVIMENTADOS ADJACENTES/CONTÍGUOS ÀS EDIFICAÇÕES</t>
  </si>
  <si>
    <t>Prestação de serviço de limpeza e conservação - áreas externas - 44 horas semanais diurnas - VARRIÇÃO DE PASSEIOS E ARRUAMENTOS</t>
  </si>
  <si>
    <t>Prestação de serviço de limpeza e conservação - áreas externas - 44 horas semanais diurnas - ÁREAS VERDES</t>
  </si>
  <si>
    <t>Prestação de serviço de limpeza e conservação - esquadrias externas - outras necessidades - ESQUADRIAS FACE INTERNAS</t>
  </si>
  <si>
    <t>Prestação de serviço de limpeza e conservação - áreas hospitalaresoutras necessidades - ÁREAS HOSPITALARES E ASSEMELHADAS (INSALUBRE)</t>
  </si>
  <si>
    <t>Prestação de serviço de limpeza e conservação - esquadrias externas - outras necessidades - ESQUADRIAS FACE EXTERNAS SEM EXPOSIÇÃO A SITUAÇÃO DE RISCO</t>
  </si>
  <si>
    <t>Prestação de serviço de limpeza e conservação - áreas internas - 44 horas semanais diurnas - PISOS FRIOS</t>
  </si>
  <si>
    <t>Valor Unitário</t>
  </si>
  <si>
    <t>Valor Anual</t>
  </si>
  <si>
    <t>Valor 05 anos</t>
  </si>
  <si>
    <t>oficina</t>
  </si>
  <si>
    <t>esquadria risco</t>
  </si>
  <si>
    <r>
      <t>M</t>
    </r>
    <r>
      <rPr>
        <vertAlign val="superscript"/>
        <sz val="9"/>
        <color theme="1"/>
        <rFont val="Calibri"/>
        <family val="2"/>
        <scheme val="minor"/>
      </rPr>
      <t>2</t>
    </r>
  </si>
  <si>
    <t>CATSER</t>
  </si>
  <si>
    <t>M²</t>
  </si>
  <si>
    <t>Qtde. Anual</t>
  </si>
  <si>
    <t>Val. Médio M² (R$)</t>
  </si>
  <si>
    <t>ANEXO - PLANILHA DE FARDAMENTO;</t>
  </si>
  <si>
    <t>ANEXO - PLANILHA DE MATERIAIS - EPI - EPC;</t>
  </si>
  <si>
    <t>ANEXOS - Pesquisa de Preços e Mapa Comparativo de Preços.</t>
  </si>
  <si>
    <t>Qtde. 05 Anos</t>
  </si>
  <si>
    <t>Valor Anual (R$)</t>
  </si>
  <si>
    <t>Valor 05 anos (R$)</t>
  </si>
  <si>
    <t xml:space="preserve"> Prestação de serviço de limpeza e conservação - ÁREAS INTERNAS (R01 a R07)</t>
  </si>
  <si>
    <t xml:space="preserve"> Prestação de serviço de limpeza e conservação - ÁREAS EXTERNAS (R08 a R10)</t>
  </si>
  <si>
    <t>Prestação de serviço de limpeza e conservação - ESQUADRIAS (R11 a R13)</t>
  </si>
  <si>
    <t>Especificação</t>
  </si>
  <si>
    <t>Undade de medida</t>
  </si>
  <si>
    <t>sem arredondar</t>
  </si>
  <si>
    <t>quant</t>
  </si>
  <si>
    <t>Lista de materiais</t>
  </si>
  <si>
    <t>Frequência de entrega</t>
  </si>
  <si>
    <t>Qtde por período</t>
  </si>
  <si>
    <t>Bimestral</t>
  </si>
  <si>
    <t>Mensal</t>
  </si>
  <si>
    <t>Trimestral</t>
  </si>
  <si>
    <t>Lista de equipamentos</t>
  </si>
  <si>
    <t>Carrinho para coleta de lixo tipo prefeitura ou luto car, fabricado em aço carbono com chapa reforçada de #1,5 mm. Capacidade para 100 Litros. Equipado com 2 rodas pneumáticas (com câmara) de 3,50 x 8”, com rolamento de rolete em eixo maciço de aço. Possui 110 cm de altura, 60 cm de largura. Pintura: epóxi. Garantia: 12 meses contra defeito de fabricação. (COMODATO)</t>
  </si>
  <si>
    <t>Carro funcional para limpeza 50L. Acompanha: 01 Carro Funcional América + 01 (um) Conj. Espremedor Doblô 50 litros, c/ 02 baldes de 25 l cada + 01 (um) Conjunto Mop Líquido (01 Cabo em Alumínio + 01 Haste + 01 Refil Mop Líquido 320 g) + 01 (uma) Placa de Sinalização Piso Molhado + 01 (uma) Pá Coletora Pop + 01 (um) Conjunto Mop Pó (01 Cabo em Aluminio + 01 Armação + 01 Refil Mop Pó 60 cm). Medidas: 116 cm comprimento x 57 cm  largua x 100 cm altura, peso aproximado 18 k. (COMODATO)</t>
  </si>
  <si>
    <t>Cortador de Grama com fio de nylon com potência mínima do motor de 1000 w - 220V (COMODATO)</t>
  </si>
  <si>
    <t>Enceradeira profissional 510mm. Potência: 1HP. Tensão: 220V. Diâmetro: 51cm Capacidade operacional: 1500 m2/h. Porta cabo em alumínio. Cabo resistente com 12m de comprimento. Caixa de ligação fabricada totalmente em ABS e que possibilita a utilização por destros e canhotos. Catraca de regulagem do cabo com acionamento no pé. Fio do motor com plug na base. Acompanha: 1 escova de lavar. Garantia: 12 meses. Marca/modelo de referência: Romher/Allclean 350 ou similar ou superior. (COMODATO)</t>
  </si>
  <si>
    <t>Lavadora de Alta Pressão PROFISSIONAL - 220 v, com no mínimo: 145 bar / 2100 libras  de pressão, vazão de água: 400 LH, nível de potência: 19000 w,motor de indução com cabeçote em alumínio. componentes: 01 Lavadora de Alta Pressão - HD 4/13
01 Pistola com Mangueira de Trama de Aço de 7,5 Metros
01 Lança com Porca Capa
01 Bico Jato Leque
01 Bico Aplicador de Detergente
01 Engate Rápido
01 Manual de Instruções (COMODATO)</t>
  </si>
  <si>
    <t>ROÇADEIRA À GASOLINA SKIM 5500, 2,2 HP DE POTÊNCIA, 55 cc, LÂMINA 3 PONTAS, 13.000 RPM DE ROTAÇÃO (COMODATO)</t>
  </si>
  <si>
    <t>Rádio transmissor Modelo de refeência: TALKABOUT MOTOROLA T460MC/ T200MC ou RC4102 Intelbras (COMODATO)</t>
  </si>
  <si>
    <t>Total para essa contratação (anual)</t>
  </si>
  <si>
    <t>Lista de EPIs/EPCs</t>
  </si>
  <si>
    <t>Planilha de insumos</t>
  </si>
  <si>
    <t>TOTAIS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</si>
</sst>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0\ &quot;M²&quot;"/>
    <numFmt numFmtId="165" formatCode="#,##0.000000000"/>
    <numFmt numFmtId="166" formatCode="#,##0.000000"/>
    <numFmt numFmtId="167" formatCode="0.000%"/>
    <numFmt numFmtId="168" formatCode="0.0000"/>
    <numFmt numFmtId="169" formatCode="0.00000"/>
    <numFmt numFmtId="170" formatCode="00.0"/>
    <numFmt numFmtId="171" formatCode="0.0000%"/>
    <numFmt numFmtId="172" formatCode="00.00"/>
    <numFmt numFmtId="173" formatCode="#,##0.0"/>
    <numFmt numFmtId="174" formatCode="_-* #,##0_-;\-* #,##0_-;_-* &quot;-&quot;??_-;_-@_-"/>
  </numFmts>
  <fonts count="45"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u/>
      <sz val="11"/>
      <color theme="1"/>
      <name val="Calibri"/>
      <family val="2"/>
      <scheme val="minor"/>
    </font>
    <font>
      <b/>
      <sz val="12"/>
      <color indexed="81"/>
      <name val="Segoe UI"/>
      <family val="2"/>
    </font>
    <font>
      <sz val="9"/>
      <color indexed="81"/>
      <name val="Segoe UI"/>
      <family val="2"/>
    </font>
    <font>
      <b/>
      <sz val="9"/>
      <color indexed="81"/>
      <name val="Segoe UI"/>
      <family val="2"/>
    </font>
    <font>
      <sz val="11"/>
      <name val="Calibri"/>
      <family val="2"/>
      <scheme val="minor"/>
    </font>
    <font>
      <b/>
      <sz val="11"/>
      <name val="Calibri"/>
      <family val="2"/>
      <scheme val="minor"/>
    </font>
    <font>
      <sz val="18"/>
      <color theme="0"/>
      <name val="Times New Roman"/>
      <family val="1"/>
    </font>
    <font>
      <sz val="12"/>
      <color theme="1"/>
      <name val="Times New Roman"/>
      <family val="1"/>
    </font>
    <font>
      <sz val="12"/>
      <color rgb="FFFF0000"/>
      <name val="Times New Roman"/>
      <family val="1"/>
    </font>
    <font>
      <b/>
      <sz val="12"/>
      <color theme="1"/>
      <name val="Times New Roman"/>
      <family val="1"/>
    </font>
    <font>
      <i/>
      <sz val="12"/>
      <color theme="1"/>
      <name val="Times New Roman"/>
      <family val="1"/>
    </font>
    <font>
      <sz val="11"/>
      <color theme="0" tint="-0.499984740745262"/>
      <name val="Calibri"/>
      <family val="2"/>
      <scheme val="minor"/>
    </font>
    <font>
      <sz val="10"/>
      <color rgb="FFFF0000"/>
      <name val="Times New Roman"/>
      <family val="1"/>
    </font>
    <font>
      <sz val="10"/>
      <color theme="1"/>
      <name val="Arial"/>
      <family val="2"/>
    </font>
    <font>
      <b/>
      <sz val="10"/>
      <color theme="1"/>
      <name val="Arial"/>
      <family val="2"/>
    </font>
    <font>
      <sz val="10"/>
      <name val="Arial"/>
      <family val="2"/>
    </font>
    <font>
      <u/>
      <sz val="11"/>
      <color theme="10"/>
      <name val="Calibri"/>
      <family val="2"/>
      <scheme val="minor"/>
    </font>
    <font>
      <b/>
      <sz val="12"/>
      <color theme="1"/>
      <name val="Arial"/>
      <family val="2"/>
    </font>
    <font>
      <b/>
      <sz val="14"/>
      <color theme="1"/>
      <name val="Arial"/>
      <family val="2"/>
    </font>
    <font>
      <b/>
      <sz val="11"/>
      <color theme="1"/>
      <name val="Calibri"/>
      <family val="2"/>
      <scheme val="minor"/>
    </font>
    <font>
      <sz val="12"/>
      <name val="Times New Roman"/>
      <family val="1"/>
    </font>
    <font>
      <b/>
      <sz val="12"/>
      <name val="Times New Roman"/>
      <family val="1"/>
    </font>
    <font>
      <sz val="11"/>
      <color theme="1"/>
      <name val="Calibri"/>
      <family val="2"/>
      <scheme val="minor"/>
    </font>
    <font>
      <b/>
      <sz val="10"/>
      <name val="Arial"/>
      <family val="2"/>
    </font>
    <font>
      <b/>
      <sz val="14"/>
      <name val="Arial"/>
      <family val="2"/>
    </font>
    <font>
      <sz val="14"/>
      <name val="Calibri"/>
      <family val="2"/>
    </font>
    <font>
      <b/>
      <sz val="10"/>
      <color rgb="FF000000"/>
      <name val="Arial"/>
      <family val="2"/>
    </font>
    <font>
      <b/>
      <sz val="18"/>
      <color theme="1"/>
      <name val="Arial"/>
      <family val="2"/>
    </font>
    <font>
      <sz val="18"/>
      <name val="Calibri"/>
      <family val="2"/>
    </font>
    <font>
      <sz val="11"/>
      <name val="Calibri"/>
      <family val="2"/>
    </font>
    <font>
      <b/>
      <sz val="12"/>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vertAlign val="superscript"/>
      <sz val="9"/>
      <color theme="1"/>
      <name val="Calibri"/>
      <family val="2"/>
      <scheme val="minor"/>
    </font>
    <font>
      <b/>
      <sz val="9"/>
      <color theme="0"/>
      <name val="Calibri"/>
      <family val="2"/>
      <scheme val="minor"/>
    </font>
    <font>
      <sz val="9"/>
      <name val="Calibri"/>
      <family val="2"/>
      <scheme val="minor"/>
    </font>
    <font>
      <b/>
      <sz val="9"/>
      <name val="Calibri"/>
      <family val="2"/>
      <scheme val="minor"/>
    </font>
    <font>
      <b/>
      <sz val="13"/>
      <name val="Calibri"/>
      <family val="2"/>
      <scheme val="minor"/>
    </font>
    <font>
      <sz val="11"/>
      <color rgb="FF0070C0"/>
      <name val="Calibri"/>
      <family val="2"/>
      <scheme val="minor"/>
    </font>
    <font>
      <b/>
      <sz val="11"/>
      <color rgb="FF0070C0"/>
      <name val="Calibri"/>
      <family val="2"/>
      <scheme val="minor"/>
    </font>
  </fonts>
  <fills count="31">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rgb="FFFF0000"/>
        <bgColor indexed="64"/>
      </patternFill>
    </fill>
    <fill>
      <patternFill patternType="solid">
        <fgColor theme="9" tint="0.59999389629810485"/>
        <bgColor indexed="64"/>
      </patternFill>
    </fill>
    <fill>
      <patternFill patternType="solid">
        <fgColor theme="8" tint="-0.249977111117893"/>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8" tint="-0.49998474074526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4" tint="-0.249977111117893"/>
        <bgColor indexed="64"/>
      </patternFill>
    </fill>
    <fill>
      <patternFill patternType="solid">
        <fgColor theme="6"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theme="0" tint="-4.9989318521683403E-2"/>
        <bgColor rgb="FFD8D8D8"/>
      </patternFill>
    </fill>
    <fill>
      <patternFill patternType="solid">
        <fgColor theme="0" tint="-4.9989318521683403E-2"/>
        <bgColor rgb="FFA5A5A5"/>
      </patternFill>
    </fill>
    <fill>
      <patternFill patternType="solid">
        <fgColor rgb="FFD8D8D8"/>
        <bgColor rgb="FFD8D8D8"/>
      </patternFill>
    </fill>
    <fill>
      <patternFill patternType="solid">
        <fgColor rgb="FFA5A5A5"/>
        <bgColor rgb="FFA5A5A5"/>
      </patternFill>
    </fill>
    <fill>
      <patternFill patternType="solid">
        <fgColor theme="0" tint="-0.14999847407452621"/>
        <bgColor rgb="FFA5A5A5"/>
      </patternFill>
    </fill>
    <fill>
      <patternFill patternType="solid">
        <fgColor theme="0" tint="-0.14999847407452621"/>
        <bgColor rgb="FFD8D8D8"/>
      </patternFill>
    </fill>
    <fill>
      <patternFill patternType="solid">
        <fgColor theme="9" tint="0.79998168889431442"/>
        <bgColor rgb="FFD8D8D8"/>
      </patternFill>
    </fill>
    <fill>
      <patternFill patternType="solid">
        <fgColor theme="9" tint="0.79998168889431442"/>
        <bgColor theme="0"/>
      </patternFill>
    </fill>
    <fill>
      <patternFill patternType="solid">
        <fgColor theme="9" tint="0.79998168889431442"/>
        <bgColor theme="5"/>
      </patternFill>
    </fill>
    <fill>
      <patternFill patternType="solid">
        <fgColor theme="9" tint="0.79998168889431442"/>
        <bgColor rgb="FFFFFFFF"/>
      </patternFill>
    </fill>
    <fill>
      <patternFill patternType="solid">
        <fgColor theme="3" tint="0.79998168889431442"/>
        <bgColor indexed="64"/>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medium">
        <color indexed="64"/>
      </bottom>
      <diagonal/>
    </border>
    <border>
      <left style="medium">
        <color rgb="FFFF0000"/>
      </left>
      <right style="medium">
        <color rgb="FFFF0000"/>
      </right>
      <top style="medium">
        <color rgb="FFFF0000"/>
      </top>
      <bottom style="medium">
        <color rgb="FFFF0000"/>
      </bottom>
      <diagonal/>
    </border>
    <border>
      <left style="medium">
        <color rgb="FFFF0000"/>
      </left>
      <right style="medium">
        <color rgb="FFFF0000"/>
      </right>
      <top style="medium">
        <color rgb="FFFF0000"/>
      </top>
      <bottom style="thin">
        <color indexed="64"/>
      </bottom>
      <diagonal/>
    </border>
    <border>
      <left style="medium">
        <color rgb="FFFF0000"/>
      </left>
      <right style="medium">
        <color rgb="FFFF0000"/>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thick">
        <color auto="1"/>
      </top>
      <bottom/>
      <diagonal/>
    </border>
    <border>
      <left/>
      <right/>
      <top/>
      <bottom style="thick">
        <color auto="1"/>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FF0000"/>
      </left>
      <right style="thin">
        <color indexed="64"/>
      </right>
      <top style="medium">
        <color rgb="FFFF0000"/>
      </top>
      <bottom style="medium">
        <color rgb="FFFF0000"/>
      </bottom>
      <diagonal/>
    </border>
    <border>
      <left/>
      <right style="thin">
        <color indexed="64"/>
      </right>
      <top style="medium">
        <color rgb="FFFF0000"/>
      </top>
      <bottom/>
      <diagonal/>
    </border>
    <border>
      <left/>
      <right style="thin">
        <color indexed="64"/>
      </right>
      <top/>
      <bottom style="medium">
        <color rgb="FFFF0000"/>
      </bottom>
      <diagonal/>
    </border>
    <border>
      <left style="medium">
        <color rgb="FFFF0000"/>
      </left>
      <right style="thin">
        <color indexed="64"/>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right/>
      <top style="thin">
        <color indexed="64"/>
      </top>
      <bottom style="thin">
        <color indexed="64"/>
      </bottom>
      <diagonal/>
    </border>
    <border>
      <left style="thin">
        <color theme="7" tint="0.39994506668294322"/>
      </left>
      <right/>
      <top style="thin">
        <color theme="7" tint="0.39994506668294322"/>
      </top>
      <bottom/>
      <diagonal/>
    </border>
    <border>
      <left/>
      <right/>
      <top style="thin">
        <color theme="7" tint="0.39994506668294322"/>
      </top>
      <bottom/>
      <diagonal/>
    </border>
    <border>
      <left/>
      <right style="thin">
        <color theme="7" tint="0.39994506668294322"/>
      </right>
      <top style="thin">
        <color theme="7" tint="0.39994506668294322"/>
      </top>
      <bottom/>
      <diagonal/>
    </border>
    <border>
      <left style="thin">
        <color theme="7" tint="0.39994506668294322"/>
      </left>
      <right/>
      <top/>
      <bottom/>
      <diagonal/>
    </border>
    <border>
      <left/>
      <right style="thin">
        <color theme="7" tint="0.39994506668294322"/>
      </right>
      <top/>
      <bottom/>
      <diagonal/>
    </border>
    <border>
      <left style="thin">
        <color theme="7" tint="0.39994506668294322"/>
      </left>
      <right/>
      <top/>
      <bottom style="thin">
        <color theme="7" tint="0.39994506668294322"/>
      </bottom>
      <diagonal/>
    </border>
    <border>
      <left/>
      <right/>
      <top/>
      <bottom style="thin">
        <color theme="7" tint="0.39994506668294322"/>
      </bottom>
      <diagonal/>
    </border>
    <border>
      <left/>
      <right style="thin">
        <color theme="7" tint="0.39994506668294322"/>
      </right>
      <top/>
      <bottom style="thin">
        <color theme="7" tint="0.39994506668294322"/>
      </bottom>
      <diagonal/>
    </border>
    <border>
      <left style="thin">
        <color rgb="FFFFC000"/>
      </left>
      <right/>
      <top style="thin">
        <color indexed="64"/>
      </top>
      <bottom/>
      <diagonal/>
    </border>
    <border>
      <left/>
      <right style="thin">
        <color rgb="FFFFC000"/>
      </right>
      <top style="thin">
        <color indexed="64"/>
      </top>
      <bottom/>
      <diagonal/>
    </border>
    <border>
      <left style="thin">
        <color rgb="FFFFC000"/>
      </left>
      <right/>
      <top/>
      <bottom style="thin">
        <color rgb="FFFFC000"/>
      </bottom>
      <diagonal/>
    </border>
    <border>
      <left/>
      <right/>
      <top/>
      <bottom style="thin">
        <color rgb="FFFFC000"/>
      </bottom>
      <diagonal/>
    </border>
    <border>
      <left/>
      <right style="thin">
        <color rgb="FFFFC000"/>
      </right>
      <top/>
      <bottom style="thin">
        <color rgb="FFFFC000"/>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0" fontId="26" fillId="0" borderId="0"/>
  </cellStyleXfs>
  <cellXfs count="369">
    <xf numFmtId="0" fontId="0" fillId="0" borderId="0" xfId="0"/>
    <xf numFmtId="0" fontId="0" fillId="0" borderId="0" xfId="0" applyAlignment="1">
      <alignment vertical="center" wrapText="1"/>
    </xf>
    <xf numFmtId="4" fontId="0" fillId="0" borderId="0" xfId="0" applyNumberFormat="1" applyAlignment="1">
      <alignment vertical="center" wrapText="1"/>
    </xf>
    <xf numFmtId="4" fontId="3" fillId="3" borderId="0" xfId="0" applyNumberFormat="1" applyFont="1" applyFill="1" applyAlignment="1">
      <alignment horizontal="center" vertical="center" wrapText="1"/>
    </xf>
    <xf numFmtId="0" fontId="3" fillId="3" borderId="0" xfId="0" applyFont="1" applyFill="1" applyAlignment="1">
      <alignment vertical="center" wrapText="1"/>
    </xf>
    <xf numFmtId="4" fontId="0" fillId="0" borderId="0" xfId="0" applyNumberFormat="1" applyAlignment="1">
      <alignment horizontal="center" vertical="center"/>
    </xf>
    <xf numFmtId="10" fontId="1" fillId="0" borderId="0" xfId="2" applyNumberFormat="1" applyFont="1" applyFill="1" applyBorder="1" applyAlignment="1">
      <alignment horizontal="center" vertical="center"/>
    </xf>
    <xf numFmtId="0" fontId="3" fillId="3" borderId="0" xfId="0" applyFont="1" applyFill="1" applyAlignment="1">
      <alignment horizontal="center" vertical="center"/>
    </xf>
    <xf numFmtId="4" fontId="2" fillId="0" borderId="0" xfId="0" applyNumberFormat="1" applyFont="1" applyAlignment="1">
      <alignment horizontal="center" vertical="center" wrapText="1"/>
    </xf>
    <xf numFmtId="0" fontId="0" fillId="4" borderId="0" xfId="0" applyFill="1" applyAlignment="1">
      <alignment vertical="center" wrapText="1"/>
    </xf>
    <xf numFmtId="0" fontId="0" fillId="4" borderId="0" xfId="0" quotePrefix="1" applyFill="1" applyAlignment="1">
      <alignment horizontal="center" vertical="center" wrapText="1"/>
    </xf>
    <xf numFmtId="4" fontId="0" fillId="4" borderId="0" xfId="0" applyNumberFormat="1" applyFill="1" applyAlignment="1">
      <alignment horizontal="center" vertical="center"/>
    </xf>
    <xf numFmtId="4" fontId="2" fillId="4" borderId="0" xfId="0" applyNumberFormat="1" applyFont="1" applyFill="1" applyAlignment="1">
      <alignment horizontal="center" vertical="center" wrapText="1"/>
    </xf>
    <xf numFmtId="4" fontId="2" fillId="8" borderId="1" xfId="0" applyNumberFormat="1" applyFont="1" applyFill="1" applyBorder="1" applyAlignment="1">
      <alignment horizontal="center" vertical="center" wrapText="1"/>
    </xf>
    <xf numFmtId="0" fontId="3" fillId="3" borderId="0" xfId="0" applyFont="1" applyFill="1" applyAlignment="1">
      <alignment horizontal="center" vertical="center" wrapText="1"/>
    </xf>
    <xf numFmtId="164" fontId="0" fillId="5" borderId="6" xfId="0" applyNumberFormat="1" applyFill="1" applyBorder="1" applyAlignment="1">
      <alignment horizontal="center" vertical="center"/>
    </xf>
    <xf numFmtId="4" fontId="2" fillId="3" borderId="0" xfId="0" applyNumberFormat="1" applyFont="1" applyFill="1" applyAlignment="1">
      <alignment horizontal="center" vertical="center"/>
    </xf>
    <xf numFmtId="166" fontId="2" fillId="6" borderId="1" xfId="0" applyNumberFormat="1" applyFont="1" applyFill="1" applyBorder="1" applyAlignment="1">
      <alignment horizontal="center" vertical="center" wrapText="1"/>
    </xf>
    <xf numFmtId="0" fontId="8" fillId="11" borderId="1" xfId="0" applyFont="1" applyFill="1" applyBorder="1" applyAlignment="1">
      <alignment vertical="center" wrapText="1"/>
    </xf>
    <xf numFmtId="4" fontId="9" fillId="11" borderId="1" xfId="0" applyNumberFormat="1" applyFont="1" applyFill="1" applyBorder="1" applyAlignment="1">
      <alignment horizontal="center" vertical="center"/>
    </xf>
    <xf numFmtId="164" fontId="8" fillId="11" borderId="1" xfId="0" applyNumberFormat="1" applyFont="1" applyFill="1" applyBorder="1" applyAlignment="1">
      <alignment horizontal="center" vertical="center"/>
    </xf>
    <xf numFmtId="165" fontId="8" fillId="11" borderId="1" xfId="0" applyNumberFormat="1" applyFont="1" applyFill="1" applyBorder="1" applyAlignment="1">
      <alignment vertical="center" wrapText="1"/>
    </xf>
    <xf numFmtId="4" fontId="8" fillId="11" borderId="1" xfId="0" applyNumberFormat="1" applyFont="1" applyFill="1" applyBorder="1" applyAlignment="1">
      <alignment horizontal="right" vertical="center" wrapText="1"/>
    </xf>
    <xf numFmtId="0" fontId="9" fillId="11" borderId="1" xfId="0" applyFont="1" applyFill="1" applyBorder="1" applyAlignment="1">
      <alignment vertical="center" wrapText="1"/>
    </xf>
    <xf numFmtId="0" fontId="11" fillId="0" borderId="0" xfId="0" applyFont="1"/>
    <xf numFmtId="0" fontId="11" fillId="13" borderId="0" xfId="0" applyFont="1" applyFill="1" applyAlignment="1">
      <alignment horizontal="right"/>
    </xf>
    <xf numFmtId="0" fontId="11" fillId="13" borderId="0" xfId="0" applyFont="1" applyFill="1"/>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3" xfId="0" applyFont="1" applyBorder="1" applyAlignment="1">
      <alignment vertical="center" wrapText="1"/>
    </xf>
    <xf numFmtId="43" fontId="11" fillId="0" borderId="3" xfId="1" applyFont="1" applyBorder="1" applyAlignment="1">
      <alignment horizontal="center" vertical="center" wrapText="1"/>
    </xf>
    <xf numFmtId="43" fontId="13" fillId="0" borderId="3" xfId="1" applyFont="1" applyBorder="1" applyAlignment="1">
      <alignment horizontal="center" vertical="center" wrapText="1"/>
    </xf>
    <xf numFmtId="0" fontId="13" fillId="0" borderId="0" xfId="0" applyFont="1" applyAlignment="1">
      <alignment vertical="center"/>
    </xf>
    <xf numFmtId="10" fontId="11" fillId="0" borderId="3" xfId="0" applyNumberFormat="1" applyFont="1" applyBorder="1" applyAlignment="1">
      <alignment horizontal="center" vertical="center" wrapText="1"/>
    </xf>
    <xf numFmtId="0" fontId="11" fillId="0" borderId="0" xfId="0" applyFont="1" applyAlignment="1">
      <alignment vertical="center"/>
    </xf>
    <xf numFmtId="0" fontId="11" fillId="0" borderId="3" xfId="0" applyFont="1" applyBorder="1" applyAlignment="1">
      <alignment horizontal="justify" vertical="center" wrapText="1"/>
    </xf>
    <xf numFmtId="167" fontId="11" fillId="0" borderId="3" xfId="2" applyNumberFormat="1" applyFont="1" applyBorder="1" applyAlignment="1">
      <alignment horizontal="center" vertical="center" wrapText="1"/>
    </xf>
    <xf numFmtId="167" fontId="11" fillId="0" borderId="3" xfId="0" applyNumberFormat="1" applyFont="1" applyBorder="1" applyAlignment="1">
      <alignment horizontal="center" vertical="center" wrapText="1"/>
    </xf>
    <xf numFmtId="9" fontId="11" fillId="0" borderId="3" xfId="2" applyFont="1" applyBorder="1" applyAlignment="1">
      <alignment horizontal="center" vertical="center" wrapText="1"/>
    </xf>
    <xf numFmtId="0" fontId="11" fillId="0" borderId="8" xfId="0" applyFont="1" applyBorder="1" applyAlignment="1">
      <alignment horizontal="center" vertical="center" wrapText="1"/>
    </xf>
    <xf numFmtId="0" fontId="13" fillId="0" borderId="9" xfId="0" applyFont="1" applyBorder="1" applyAlignment="1">
      <alignment vertical="center" wrapText="1"/>
    </xf>
    <xf numFmtId="0" fontId="14" fillId="0" borderId="3" xfId="0" applyFont="1" applyBorder="1" applyAlignment="1">
      <alignment vertical="center" wrapText="1"/>
    </xf>
    <xf numFmtId="43" fontId="14" fillId="0" borderId="3" xfId="1" applyFont="1" applyBorder="1" applyAlignment="1">
      <alignment horizontal="center" vertical="center" wrapText="1"/>
    </xf>
    <xf numFmtId="10" fontId="14" fillId="0" borderId="3" xfId="2" applyNumberFormat="1" applyFont="1" applyBorder="1" applyAlignment="1">
      <alignment horizontal="center" vertical="center" wrapText="1"/>
    </xf>
    <xf numFmtId="0" fontId="13" fillId="0" borderId="10" xfId="0" applyFont="1" applyBorder="1" applyAlignment="1">
      <alignment horizontal="center" vertical="center" wrapText="1"/>
    </xf>
    <xf numFmtId="43" fontId="11" fillId="0" borderId="3" xfId="1" applyFont="1" applyBorder="1" applyAlignment="1">
      <alignment vertical="center" wrapText="1"/>
    </xf>
    <xf numFmtId="43" fontId="11" fillId="0" borderId="3" xfId="1" applyFont="1" applyFill="1" applyBorder="1" applyAlignment="1">
      <alignment vertical="center" wrapText="1"/>
    </xf>
    <xf numFmtId="0" fontId="0" fillId="0" borderId="0" xfId="0" quotePrefix="1" applyAlignment="1">
      <alignment horizontal="center" vertical="center" wrapText="1"/>
    </xf>
    <xf numFmtId="43" fontId="11" fillId="0" borderId="0" xfId="0" applyNumberFormat="1" applyFont="1"/>
    <xf numFmtId="10" fontId="14" fillId="0" borderId="3" xfId="2" applyNumberFormat="1" applyFont="1" applyFill="1" applyBorder="1" applyAlignment="1">
      <alignment horizontal="center" vertical="center" wrapText="1"/>
    </xf>
    <xf numFmtId="0" fontId="11" fillId="13" borderId="0" xfId="0" applyFont="1" applyFill="1" applyAlignment="1">
      <alignment horizontal="right" wrapText="1"/>
    </xf>
    <xf numFmtId="0" fontId="0" fillId="10" borderId="0" xfId="0" applyFill="1" applyAlignment="1">
      <alignment vertical="center" wrapText="1"/>
    </xf>
    <xf numFmtId="4" fontId="0" fillId="10" borderId="0" xfId="0" applyNumberFormat="1" applyFill="1" applyAlignment="1">
      <alignment horizontal="right" vertical="center" wrapText="1"/>
    </xf>
    <xf numFmtId="3" fontId="0" fillId="10" borderId="4" xfId="0" applyNumberFormat="1" applyFill="1" applyBorder="1" applyAlignment="1">
      <alignment horizontal="center"/>
    </xf>
    <xf numFmtId="43" fontId="11" fillId="0" borderId="3" xfId="1" applyFont="1" applyFill="1" applyBorder="1" applyAlignment="1">
      <alignment horizontal="center" vertical="center" wrapText="1"/>
    </xf>
    <xf numFmtId="0" fontId="15" fillId="17" borderId="0" xfId="0" applyFont="1" applyFill="1" applyAlignment="1">
      <alignment vertical="center" wrapText="1"/>
    </xf>
    <xf numFmtId="4" fontId="15" fillId="17" borderId="0" xfId="0" applyNumberFormat="1" applyFont="1" applyFill="1" applyAlignment="1">
      <alignment vertical="center" wrapText="1"/>
    </xf>
    <xf numFmtId="4" fontId="0" fillId="10" borderId="0" xfId="0" applyNumberFormat="1" applyFill="1" applyAlignment="1">
      <alignment horizontal="center" vertical="center" wrapText="1"/>
    </xf>
    <xf numFmtId="165" fontId="0" fillId="16" borderId="1" xfId="0" applyNumberFormat="1" applyFill="1" applyBorder="1" applyAlignment="1">
      <alignment vertical="center" wrapText="1"/>
    </xf>
    <xf numFmtId="4" fontId="0" fillId="16" borderId="2" xfId="0" applyNumberFormat="1" applyFill="1" applyBorder="1" applyAlignment="1">
      <alignment horizontal="center" vertical="center" wrapText="1"/>
    </xf>
    <xf numFmtId="166" fontId="0" fillId="16" borderId="7" xfId="0" applyNumberFormat="1" applyFill="1" applyBorder="1" applyAlignment="1">
      <alignment horizontal="center" vertical="center" wrapText="1"/>
    </xf>
    <xf numFmtId="4" fontId="3" fillId="0" borderId="0" xfId="0" applyNumberFormat="1" applyFont="1" applyAlignment="1">
      <alignment horizontal="right" vertical="center" wrapText="1"/>
    </xf>
    <xf numFmtId="4" fontId="3" fillId="0" borderId="0" xfId="0" applyNumberFormat="1" applyFont="1" applyAlignment="1">
      <alignment horizontal="center" vertical="center" wrapText="1"/>
    </xf>
    <xf numFmtId="164" fontId="0" fillId="16" borderId="1" xfId="0" applyNumberFormat="1" applyFill="1" applyBorder="1" applyAlignment="1">
      <alignment horizontal="center" vertical="center"/>
    </xf>
    <xf numFmtId="0" fontId="8" fillId="17" borderId="0" xfId="0" applyFont="1" applyFill="1" applyAlignment="1">
      <alignment vertical="center" wrapText="1"/>
    </xf>
    <xf numFmtId="0" fontId="8" fillId="17" borderId="0" xfId="0" quotePrefix="1" applyFont="1" applyFill="1" applyAlignment="1">
      <alignment horizontal="center" vertical="center" wrapText="1"/>
    </xf>
    <xf numFmtId="4" fontId="8" fillId="17" borderId="0" xfId="0" applyNumberFormat="1" applyFont="1" applyFill="1" applyAlignment="1">
      <alignment horizontal="center" vertical="center"/>
    </xf>
    <xf numFmtId="4" fontId="9" fillId="17" borderId="0" xfId="0" applyNumberFormat="1" applyFont="1" applyFill="1" applyAlignment="1">
      <alignment horizontal="center" vertical="center" wrapText="1"/>
    </xf>
    <xf numFmtId="4" fontId="15" fillId="17" borderId="0" xfId="0" applyNumberFormat="1" applyFont="1" applyFill="1" applyAlignment="1">
      <alignment horizontal="center"/>
    </xf>
    <xf numFmtId="164" fontId="0" fillId="5" borderId="1" xfId="0" applyNumberFormat="1" applyFill="1" applyBorder="1" applyAlignment="1">
      <alignment horizontal="center" vertical="center"/>
    </xf>
    <xf numFmtId="170" fontId="1" fillId="2" borderId="0" xfId="2" applyNumberFormat="1" applyFont="1" applyFill="1" applyBorder="1" applyAlignment="1">
      <alignment horizontal="center" vertical="center"/>
    </xf>
    <xf numFmtId="167" fontId="11" fillId="0" borderId="3" xfId="2" applyNumberFormat="1" applyFont="1" applyFill="1" applyBorder="1" applyAlignment="1">
      <alignment horizontal="center" vertical="center" wrapText="1"/>
    </xf>
    <xf numFmtId="10" fontId="11" fillId="0" borderId="3" xfId="2" applyNumberFormat="1" applyFont="1" applyFill="1" applyBorder="1" applyAlignment="1">
      <alignment horizontal="center" vertical="center" wrapText="1"/>
    </xf>
    <xf numFmtId="10" fontId="11" fillId="0" borderId="3" xfId="1" applyNumberFormat="1" applyFont="1" applyBorder="1" applyAlignment="1">
      <alignment horizontal="center" vertical="center" wrapText="1"/>
    </xf>
    <xf numFmtId="10" fontId="13" fillId="0" borderId="9" xfId="0" applyNumberFormat="1" applyFont="1" applyBorder="1" applyAlignment="1">
      <alignment vertical="center" wrapText="1"/>
    </xf>
    <xf numFmtId="10" fontId="11" fillId="0" borderId="3" xfId="2" applyNumberFormat="1" applyFont="1" applyBorder="1" applyAlignment="1">
      <alignment horizontal="center" vertical="center" wrapText="1"/>
    </xf>
    <xf numFmtId="10" fontId="11" fillId="0" borderId="3" xfId="1" applyNumberFormat="1" applyFont="1" applyBorder="1" applyAlignment="1">
      <alignment horizontal="right" vertical="center" wrapText="1"/>
    </xf>
    <xf numFmtId="0" fontId="2" fillId="6" borderId="0" xfId="0" applyFont="1" applyFill="1" applyAlignment="1">
      <alignment horizontal="center" vertical="center"/>
    </xf>
    <xf numFmtId="0" fontId="0" fillId="18" borderId="0" xfId="0" applyFill="1"/>
    <xf numFmtId="4" fontId="0" fillId="18" borderId="0" xfId="0" applyNumberFormat="1" applyFill="1" applyAlignment="1">
      <alignment horizontal="left" vertical="center" wrapText="1"/>
    </xf>
    <xf numFmtId="4" fontId="0" fillId="18" borderId="0" xfId="0" applyNumberFormat="1" applyFill="1" applyAlignment="1">
      <alignment horizontal="right" vertical="center" wrapText="1"/>
    </xf>
    <xf numFmtId="171" fontId="11" fillId="0" borderId="3" xfId="2" applyNumberFormat="1" applyFont="1" applyBorder="1" applyAlignment="1">
      <alignment horizontal="center" vertical="center" wrapText="1"/>
    </xf>
    <xf numFmtId="171" fontId="11" fillId="0" borderId="3" xfId="2" applyNumberFormat="1" applyFont="1" applyFill="1" applyBorder="1" applyAlignment="1">
      <alignment horizontal="center" vertical="center" wrapText="1"/>
    </xf>
    <xf numFmtId="171" fontId="11" fillId="0" borderId="3" xfId="0" applyNumberFormat="1" applyFont="1" applyBorder="1" applyAlignment="1">
      <alignment horizontal="center" vertical="center" wrapText="1"/>
    </xf>
    <xf numFmtId="43" fontId="24" fillId="0" borderId="3" xfId="1" applyFont="1" applyBorder="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right"/>
    </xf>
    <xf numFmtId="0" fontId="11" fillId="0" borderId="0" xfId="0" applyFont="1" applyAlignment="1">
      <alignment horizontal="right" wrapText="1"/>
    </xf>
    <xf numFmtId="0" fontId="26" fillId="0" borderId="0" xfId="5"/>
    <xf numFmtId="0" fontId="35" fillId="0" borderId="0" xfId="5" applyFont="1"/>
    <xf numFmtId="0" fontId="23" fillId="11" borderId="1" xfId="5" applyFont="1" applyFill="1" applyBorder="1" applyAlignment="1">
      <alignment horizontal="center" vertical="center"/>
    </xf>
    <xf numFmtId="0" fontId="23" fillId="11" borderId="1" xfId="5" applyFont="1" applyFill="1" applyBorder="1" applyAlignment="1">
      <alignment horizontal="center" vertical="center" wrapText="1"/>
    </xf>
    <xf numFmtId="0" fontId="26" fillId="0" borderId="1" xfId="5" applyBorder="1" applyAlignment="1">
      <alignment horizontal="center" vertical="center"/>
    </xf>
    <xf numFmtId="0" fontId="1" fillId="0" borderId="1" xfId="5" applyFont="1" applyBorder="1" applyAlignment="1">
      <alignment horizontal="left" vertical="center" wrapText="1"/>
    </xf>
    <xf numFmtId="44" fontId="0" fillId="0" borderId="1" xfId="4" applyFont="1" applyBorder="1" applyAlignment="1">
      <alignment horizontal="center" vertical="center"/>
    </xf>
    <xf numFmtId="44" fontId="26" fillId="11" borderId="1" xfId="5" applyNumberFormat="1" applyFill="1" applyBorder="1" applyAlignment="1">
      <alignment horizontal="center" vertical="center"/>
    </xf>
    <xf numFmtId="44" fontId="1" fillId="0" borderId="1" xfId="4" applyFont="1" applyBorder="1" applyAlignment="1">
      <alignment horizontal="center" vertical="center"/>
    </xf>
    <xf numFmtId="44" fontId="26" fillId="0" borderId="0" xfId="5" applyNumberFormat="1"/>
    <xf numFmtId="44" fontId="23" fillId="11" borderId="0" xfId="5" applyNumberFormat="1" applyFont="1" applyFill="1"/>
    <xf numFmtId="173" fontId="2" fillId="6" borderId="1" xfId="0" applyNumberFormat="1" applyFont="1" applyFill="1" applyBorder="1" applyAlignment="1">
      <alignment horizontal="center" vertical="center" wrapText="1"/>
    </xf>
    <xf numFmtId="166" fontId="0" fillId="0" borderId="0" xfId="0" applyNumberFormat="1"/>
    <xf numFmtId="164" fontId="8" fillId="5" borderId="1" xfId="0" applyNumberFormat="1" applyFont="1" applyFill="1" applyBorder="1" applyAlignment="1">
      <alignment horizontal="center" vertical="center"/>
    </xf>
    <xf numFmtId="4" fontId="0" fillId="18" borderId="0" xfId="0" applyNumberFormat="1" applyFill="1"/>
    <xf numFmtId="2" fontId="0" fillId="18" borderId="0" xfId="0" applyNumberFormat="1" applyFill="1" applyAlignment="1">
      <alignment horizontal="left"/>
    </xf>
    <xf numFmtId="172" fontId="0" fillId="18" borderId="0" xfId="0" applyNumberFormat="1" applyFill="1"/>
    <xf numFmtId="0" fontId="36" fillId="0" borderId="0" xfId="0" applyFont="1"/>
    <xf numFmtId="0" fontId="36" fillId="0" borderId="1" xfId="0" applyFont="1" applyBorder="1" applyAlignment="1">
      <alignment horizontal="center" vertical="center" wrapText="1"/>
    </xf>
    <xf numFmtId="0" fontId="36" fillId="0" borderId="0" xfId="0" applyFont="1" applyAlignment="1">
      <alignment horizontal="center" vertical="center"/>
    </xf>
    <xf numFmtId="0" fontId="36" fillId="0" borderId="1" xfId="0" applyFont="1" applyBorder="1" applyAlignment="1">
      <alignment horizontal="center" vertical="center"/>
    </xf>
    <xf numFmtId="0" fontId="36" fillId="0" borderId="1" xfId="0" applyFont="1" applyBorder="1" applyAlignment="1">
      <alignment horizontal="left" vertical="center" wrapText="1"/>
    </xf>
    <xf numFmtId="0" fontId="37" fillId="29" borderId="1" xfId="0" applyFont="1" applyFill="1" applyBorder="1" applyAlignment="1">
      <alignment horizontal="center" vertical="center"/>
    </xf>
    <xf numFmtId="0" fontId="36" fillId="0" borderId="24" xfId="0" applyFont="1" applyBorder="1" applyAlignment="1">
      <alignment horizontal="center" vertical="center" wrapText="1"/>
    </xf>
    <xf numFmtId="0" fontId="36" fillId="0" borderId="0" xfId="0" applyFont="1" applyAlignment="1">
      <alignment horizontal="center" vertical="center" wrapText="1"/>
    </xf>
    <xf numFmtId="0" fontId="36" fillId="0" borderId="23" xfId="0" applyFont="1" applyBorder="1" applyAlignment="1">
      <alignment horizontal="center" vertical="center" wrapText="1"/>
    </xf>
    <xf numFmtId="0" fontId="37" fillId="29" borderId="1" xfId="0" applyFont="1" applyFill="1" applyBorder="1" applyAlignment="1">
      <alignment horizontal="center" vertical="center" wrapText="1"/>
    </xf>
    <xf numFmtId="4" fontId="8" fillId="16" borderId="2" xfId="0" applyNumberFormat="1" applyFont="1" applyFill="1" applyBorder="1" applyAlignment="1">
      <alignment horizontal="center" vertical="center" wrapText="1"/>
    </xf>
    <xf numFmtId="166" fontId="8" fillId="16" borderId="7" xfId="0" applyNumberFormat="1" applyFont="1" applyFill="1" applyBorder="1" applyAlignment="1">
      <alignment horizontal="center" vertical="center" wrapText="1"/>
    </xf>
    <xf numFmtId="0" fontId="3" fillId="3" borderId="22" xfId="0" applyFont="1" applyFill="1" applyBorder="1" applyAlignment="1">
      <alignment vertical="center" wrapText="1"/>
    </xf>
    <xf numFmtId="0" fontId="0" fillId="0" borderId="29" xfId="0" applyBorder="1" applyAlignment="1">
      <alignment vertical="center" wrapText="1"/>
    </xf>
    <xf numFmtId="0" fontId="8" fillId="0" borderId="29" xfId="0" applyFont="1" applyBorder="1" applyAlignment="1">
      <alignment vertical="center" wrapText="1"/>
    </xf>
    <xf numFmtId="0" fontId="0" fillId="0" borderId="30" xfId="0" applyBorder="1" applyAlignment="1">
      <alignment vertical="center" wrapText="1"/>
    </xf>
    <xf numFmtId="4" fontId="2" fillId="8" borderId="30" xfId="0" applyNumberFormat="1" applyFont="1" applyFill="1" applyBorder="1" applyAlignment="1">
      <alignment horizontal="center" vertical="center" wrapText="1"/>
    </xf>
    <xf numFmtId="0" fontId="3" fillId="3" borderId="25" xfId="0" applyFont="1" applyFill="1" applyBorder="1" applyAlignment="1">
      <alignment vertical="center" wrapText="1"/>
    </xf>
    <xf numFmtId="0" fontId="3" fillId="3" borderId="24" xfId="0" applyFont="1" applyFill="1" applyBorder="1" applyAlignment="1">
      <alignment horizontal="center" vertical="center" wrapText="1"/>
    </xf>
    <xf numFmtId="0" fontId="8" fillId="0" borderId="27" xfId="0" applyFont="1" applyBorder="1" applyAlignment="1">
      <alignment vertical="center" wrapText="1"/>
    </xf>
    <xf numFmtId="4" fontId="0" fillId="10" borderId="31" xfId="0" applyNumberFormat="1" applyFill="1" applyBorder="1" applyAlignment="1">
      <alignment horizontal="center" vertical="center"/>
    </xf>
    <xf numFmtId="0" fontId="3" fillId="0" borderId="27" xfId="0" applyFont="1" applyBorder="1" applyAlignment="1">
      <alignment vertical="center" wrapText="1"/>
    </xf>
    <xf numFmtId="0" fontId="3" fillId="0" borderId="0" xfId="0" applyFont="1" applyAlignment="1">
      <alignment vertical="center" wrapText="1"/>
    </xf>
    <xf numFmtId="3" fontId="3" fillId="0" borderId="32" xfId="0" applyNumberFormat="1" applyFont="1" applyBorder="1" applyAlignment="1">
      <alignment horizontal="center"/>
    </xf>
    <xf numFmtId="3" fontId="3" fillId="0" borderId="33" xfId="0" applyNumberFormat="1" applyFont="1" applyBorder="1" applyAlignment="1">
      <alignment horizontal="center"/>
    </xf>
    <xf numFmtId="0" fontId="0" fillId="0" borderId="27" xfId="0" applyBorder="1" applyAlignment="1">
      <alignment vertical="center" wrapText="1"/>
    </xf>
    <xf numFmtId="164" fontId="8" fillId="5" borderId="35" xfId="0" applyNumberFormat="1" applyFont="1" applyFill="1" applyBorder="1" applyAlignment="1">
      <alignment horizontal="center" vertical="center"/>
    </xf>
    <xf numFmtId="0" fontId="0" fillId="0" borderId="28" xfId="0" applyBorder="1" applyAlignment="1">
      <alignment vertical="center" wrapText="1"/>
    </xf>
    <xf numFmtId="4" fontId="2" fillId="3" borderId="26" xfId="0" applyNumberFormat="1" applyFont="1" applyFill="1" applyBorder="1" applyAlignment="1">
      <alignment horizontal="center" vertical="center" wrapText="1"/>
    </xf>
    <xf numFmtId="165" fontId="0" fillId="16" borderId="7" xfId="0" applyNumberFormat="1" applyFill="1" applyBorder="1" applyAlignment="1">
      <alignment vertical="center" wrapText="1"/>
    </xf>
    <xf numFmtId="165" fontId="8" fillId="16" borderId="7" xfId="0" applyNumberFormat="1" applyFont="1" applyFill="1" applyBorder="1" applyAlignment="1">
      <alignment vertical="center" wrapText="1"/>
    </xf>
    <xf numFmtId="0" fontId="3" fillId="3" borderId="24" xfId="0" applyFont="1" applyFill="1" applyBorder="1" applyAlignment="1">
      <alignment horizontal="center" vertical="center"/>
    </xf>
    <xf numFmtId="164" fontId="8" fillId="7" borderId="36" xfId="0" applyNumberFormat="1" applyFont="1" applyFill="1" applyBorder="1" applyAlignment="1">
      <alignment horizontal="center" vertical="center"/>
    </xf>
    <xf numFmtId="4" fontId="2" fillId="3" borderId="22" xfId="0" applyNumberFormat="1" applyFont="1" applyFill="1" applyBorder="1" applyAlignment="1">
      <alignment horizontal="center" vertical="center"/>
    </xf>
    <xf numFmtId="174" fontId="36" fillId="0" borderId="1" xfId="1" applyNumberFormat="1" applyFont="1" applyBorder="1" applyAlignment="1">
      <alignment horizontal="center" vertical="center"/>
    </xf>
    <xf numFmtId="168" fontId="36" fillId="0" borderId="1" xfId="0" applyNumberFormat="1" applyFont="1" applyBorder="1" applyAlignment="1">
      <alignment horizontal="center" vertical="center"/>
    </xf>
    <xf numFmtId="43" fontId="36" fillId="0" borderId="1" xfId="1" applyFont="1" applyBorder="1" applyAlignment="1">
      <alignment horizontal="center" vertical="center"/>
    </xf>
    <xf numFmtId="43" fontId="36" fillId="0" borderId="0" xfId="0" applyNumberFormat="1" applyFont="1"/>
    <xf numFmtId="0" fontId="36" fillId="0" borderId="0" xfId="0" applyFont="1" applyAlignment="1">
      <alignment horizontal="left" vertical="center" wrapText="1"/>
    </xf>
    <xf numFmtId="43" fontId="36" fillId="0" borderId="0" xfId="0" applyNumberFormat="1" applyFont="1" applyAlignment="1">
      <alignment horizontal="center" vertical="center"/>
    </xf>
    <xf numFmtId="43" fontId="36" fillId="0" borderId="0" xfId="1" applyFont="1" applyAlignment="1">
      <alignment horizontal="center" vertical="center"/>
    </xf>
    <xf numFmtId="0" fontId="37" fillId="0" borderId="1" xfId="0" applyFont="1" applyBorder="1" applyAlignment="1">
      <alignment horizontal="center" vertical="center"/>
    </xf>
    <xf numFmtId="43" fontId="37" fillId="0" borderId="1" xfId="1" applyFont="1" applyBorder="1" applyAlignment="1">
      <alignment horizontal="center" vertical="center"/>
    </xf>
    <xf numFmtId="43" fontId="37" fillId="0" borderId="1" xfId="0" applyNumberFormat="1" applyFont="1" applyBorder="1" applyAlignment="1">
      <alignment horizontal="center" vertical="center"/>
    </xf>
    <xf numFmtId="0" fontId="2" fillId="9" borderId="37" xfId="0" applyFont="1" applyFill="1" applyBorder="1" applyAlignment="1">
      <alignment horizontal="left"/>
    </xf>
    <xf numFmtId="0" fontId="2" fillId="9" borderId="38" xfId="0" applyFont="1" applyFill="1" applyBorder="1" applyAlignment="1">
      <alignment horizontal="center"/>
    </xf>
    <xf numFmtId="0" fontId="2" fillId="9" borderId="39" xfId="0" applyFont="1" applyFill="1" applyBorder="1" applyAlignment="1">
      <alignment horizontal="center"/>
    </xf>
    <xf numFmtId="4" fontId="8" fillId="18" borderId="40" xfId="0" applyNumberFormat="1" applyFont="1" applyFill="1" applyBorder="1" applyAlignment="1">
      <alignment horizontal="left" vertical="center" wrapText="1"/>
    </xf>
    <xf numFmtId="169" fontId="8" fillId="18" borderId="0" xfId="0" applyNumberFormat="1" applyFont="1" applyFill="1"/>
    <xf numFmtId="4" fontId="8" fillId="2" borderId="41" xfId="0" applyNumberFormat="1" applyFont="1" applyFill="1" applyBorder="1"/>
    <xf numFmtId="169" fontId="8" fillId="18" borderId="0" xfId="0" applyNumberFormat="1" applyFont="1" applyFill="1" applyAlignment="1">
      <alignment horizontal="right"/>
    </xf>
    <xf numFmtId="0" fontId="8" fillId="18" borderId="40" xfId="0" applyFont="1" applyFill="1" applyBorder="1"/>
    <xf numFmtId="0" fontId="8" fillId="18" borderId="0" xfId="0" applyFont="1" applyFill="1"/>
    <xf numFmtId="0" fontId="8" fillId="18" borderId="41" xfId="0" applyFont="1" applyFill="1" applyBorder="1"/>
    <xf numFmtId="0" fontId="9" fillId="0" borderId="40" xfId="0" applyFont="1" applyBorder="1" applyAlignment="1">
      <alignment horizontal="right"/>
    </xf>
    <xf numFmtId="0" fontId="8" fillId="2" borderId="0" xfId="0" applyFont="1" applyFill="1"/>
    <xf numFmtId="4" fontId="9" fillId="0" borderId="40" xfId="0" applyNumberFormat="1" applyFont="1" applyBorder="1" applyAlignment="1">
      <alignment horizontal="right" vertical="center" wrapText="1"/>
    </xf>
    <xf numFmtId="4" fontId="9" fillId="18" borderId="40" xfId="0" applyNumberFormat="1" applyFont="1" applyFill="1" applyBorder="1" applyAlignment="1">
      <alignment horizontal="right" vertical="center" wrapText="1"/>
    </xf>
    <xf numFmtId="0" fontId="9" fillId="18" borderId="0" xfId="0" applyFont="1" applyFill="1"/>
    <xf numFmtId="4" fontId="9" fillId="18" borderId="41" xfId="0" applyNumberFormat="1" applyFont="1" applyFill="1" applyBorder="1"/>
    <xf numFmtId="4" fontId="9" fillId="0" borderId="42" xfId="0" applyNumberFormat="1" applyFont="1" applyBorder="1" applyAlignment="1">
      <alignment horizontal="right" vertical="center" wrapText="1"/>
    </xf>
    <xf numFmtId="0" fontId="9" fillId="2" borderId="43" xfId="0" applyFont="1" applyFill="1" applyBorder="1"/>
    <xf numFmtId="4" fontId="9" fillId="2" borderId="44" xfId="0" applyNumberFormat="1" applyFont="1" applyFill="1" applyBorder="1"/>
    <xf numFmtId="4" fontId="0" fillId="0" borderId="40" xfId="0" applyNumberFormat="1" applyBorder="1" applyAlignment="1">
      <alignment horizontal="left" vertical="center" wrapText="1"/>
    </xf>
    <xf numFmtId="4" fontId="0" fillId="2" borderId="41" xfId="0" applyNumberFormat="1" applyFill="1" applyBorder="1" applyAlignment="1">
      <alignment horizontal="right" vertical="center" wrapText="1"/>
    </xf>
    <xf numFmtId="4" fontId="0" fillId="0" borderId="42" xfId="0" applyNumberFormat="1" applyBorder="1" applyAlignment="1">
      <alignment horizontal="left" vertical="center" wrapText="1"/>
    </xf>
    <xf numFmtId="0" fontId="0" fillId="0" borderId="43" xfId="0" applyBorder="1"/>
    <xf numFmtId="4" fontId="0" fillId="2" borderId="44" xfId="0" applyNumberFormat="1" applyFill="1" applyBorder="1" applyAlignment="1">
      <alignment horizontal="right" vertical="center" wrapText="1"/>
    </xf>
    <xf numFmtId="0" fontId="0" fillId="0" borderId="42" xfId="0" applyBorder="1"/>
    <xf numFmtId="0" fontId="0" fillId="0" borderId="44" xfId="0" applyBorder="1"/>
    <xf numFmtId="4" fontId="9" fillId="18" borderId="37" xfId="0" applyNumberFormat="1" applyFont="1" applyFill="1" applyBorder="1" applyAlignment="1">
      <alignment horizontal="right"/>
    </xf>
    <xf numFmtId="168" fontId="2" fillId="6" borderId="38" xfId="0" applyNumberFormat="1" applyFont="1" applyFill="1" applyBorder="1" applyAlignment="1">
      <alignment horizontal="center" vertical="center"/>
    </xf>
    <xf numFmtId="0" fontId="2" fillId="6" borderId="39" xfId="0" applyFont="1" applyFill="1" applyBorder="1" applyAlignment="1">
      <alignment horizontal="center" vertical="center"/>
    </xf>
    <xf numFmtId="4" fontId="0" fillId="18" borderId="40" xfId="0" applyNumberFormat="1" applyFill="1" applyBorder="1" applyAlignment="1">
      <alignment horizontal="left" vertical="center" wrapText="1"/>
    </xf>
    <xf numFmtId="4" fontId="0" fillId="18" borderId="42" xfId="0" applyNumberFormat="1" applyFill="1" applyBorder="1" applyAlignment="1">
      <alignment horizontal="left" vertical="center" wrapText="1"/>
    </xf>
    <xf numFmtId="170" fontId="1" fillId="2" borderId="43" xfId="2" applyNumberFormat="1" applyFont="1" applyFill="1" applyBorder="1" applyAlignment="1">
      <alignment horizontal="center" vertical="center"/>
    </xf>
    <xf numFmtId="169" fontId="8" fillId="0" borderId="0" xfId="0" applyNumberFormat="1" applyFont="1"/>
    <xf numFmtId="0" fontId="2" fillId="0" borderId="0" xfId="0" applyFont="1" applyAlignment="1">
      <alignment horizontal="left"/>
    </xf>
    <xf numFmtId="0" fontId="2" fillId="0" borderId="0" xfId="0" applyFont="1" applyAlignment="1">
      <alignment horizontal="center"/>
    </xf>
    <xf numFmtId="4" fontId="8" fillId="0" borderId="0" xfId="0" applyNumberFormat="1" applyFont="1" applyAlignment="1">
      <alignment horizontal="left" vertical="center" wrapText="1"/>
    </xf>
    <xf numFmtId="4" fontId="8" fillId="0" borderId="0" xfId="0" applyNumberFormat="1" applyFont="1"/>
    <xf numFmtId="4" fontId="0" fillId="0" borderId="0" xfId="0" applyNumberFormat="1"/>
    <xf numFmtId="44" fontId="0" fillId="0" borderId="0" xfId="0" applyNumberFormat="1"/>
    <xf numFmtId="0" fontId="39" fillId="9" borderId="1" xfId="0" applyFont="1" applyFill="1" applyBorder="1" applyAlignment="1">
      <alignment horizontal="center" vertical="center"/>
    </xf>
    <xf numFmtId="0" fontId="39" fillId="9" borderId="1" xfId="0" applyFont="1" applyFill="1" applyBorder="1" applyAlignment="1">
      <alignment horizontal="center" vertical="center" wrapText="1"/>
    </xf>
    <xf numFmtId="0" fontId="36" fillId="18" borderId="1" xfId="0" applyFont="1" applyFill="1" applyBorder="1" applyAlignment="1">
      <alignment horizontal="center" vertical="center"/>
    </xf>
    <xf numFmtId="4" fontId="40" fillId="18" borderId="1" xfId="0" applyNumberFormat="1" applyFont="1" applyFill="1" applyBorder="1" applyAlignment="1">
      <alignment horizontal="left" vertical="center" wrapText="1"/>
    </xf>
    <xf numFmtId="0" fontId="40" fillId="18" borderId="1" xfId="0" applyFont="1" applyFill="1" applyBorder="1" applyAlignment="1">
      <alignment horizontal="center" vertical="center" wrapText="1"/>
    </xf>
    <xf numFmtId="4" fontId="40" fillId="18" borderId="1" xfId="0" applyNumberFormat="1" applyFont="1" applyFill="1" applyBorder="1" applyAlignment="1">
      <alignment horizontal="center" vertical="center" wrapText="1"/>
    </xf>
    <xf numFmtId="3" fontId="40" fillId="18" borderId="1" xfId="0" applyNumberFormat="1" applyFont="1" applyFill="1" applyBorder="1" applyAlignment="1">
      <alignment horizontal="center" vertical="center" wrapText="1"/>
    </xf>
    <xf numFmtId="0" fontId="36" fillId="18" borderId="45" xfId="0" applyFont="1" applyFill="1" applyBorder="1"/>
    <xf numFmtId="4" fontId="41" fillId="18" borderId="24" xfId="0" applyNumberFormat="1" applyFont="1" applyFill="1" applyBorder="1" applyAlignment="1">
      <alignment horizontal="right" vertical="center" wrapText="1"/>
    </xf>
    <xf numFmtId="0" fontId="40" fillId="18" borderId="24" xfId="0" applyFont="1" applyFill="1" applyBorder="1"/>
    <xf numFmtId="4" fontId="40" fillId="18" borderId="46" xfId="0" applyNumberFormat="1" applyFont="1" applyFill="1" applyBorder="1"/>
    <xf numFmtId="0" fontId="36" fillId="18" borderId="47" xfId="0" applyFont="1" applyFill="1" applyBorder="1"/>
    <xf numFmtId="4" fontId="41" fillId="18" borderId="48" xfId="0" applyNumberFormat="1" applyFont="1" applyFill="1" applyBorder="1" applyAlignment="1">
      <alignment horizontal="right" vertical="center" wrapText="1"/>
    </xf>
    <xf numFmtId="4" fontId="41" fillId="18" borderId="49" xfId="0" applyNumberFormat="1" applyFont="1" applyFill="1" applyBorder="1"/>
    <xf numFmtId="164" fontId="8" fillId="30" borderId="1" xfId="0" applyNumberFormat="1" applyFont="1" applyFill="1" applyBorder="1" applyAlignment="1">
      <alignment horizontal="center" vertical="center"/>
    </xf>
    <xf numFmtId="0" fontId="36" fillId="18" borderId="24" xfId="0" applyFont="1" applyFill="1" applyBorder="1"/>
    <xf numFmtId="0" fontId="36" fillId="18" borderId="48" xfId="0" applyFont="1" applyFill="1" applyBorder="1"/>
    <xf numFmtId="164" fontId="0" fillId="11" borderId="34" xfId="0" applyNumberFormat="1" applyFill="1" applyBorder="1" applyAlignment="1">
      <alignment horizontal="center" vertical="center"/>
    </xf>
    <xf numFmtId="164" fontId="0" fillId="11" borderId="35" xfId="0" applyNumberFormat="1" applyFill="1" applyBorder="1" applyAlignment="1">
      <alignment horizontal="center" vertical="center"/>
    </xf>
    <xf numFmtId="164" fontId="8" fillId="11" borderId="35" xfId="0" applyNumberFormat="1" applyFont="1" applyFill="1" applyBorder="1" applyAlignment="1">
      <alignment horizontal="center" vertical="center"/>
    </xf>
    <xf numFmtId="164" fontId="8" fillId="30" borderId="35" xfId="0" applyNumberFormat="1" applyFont="1" applyFill="1" applyBorder="1" applyAlignment="1">
      <alignment horizontal="center" vertical="center"/>
    </xf>
    <xf numFmtId="164" fontId="0" fillId="30" borderId="35" xfId="0" applyNumberFormat="1" applyFill="1" applyBorder="1" applyAlignment="1">
      <alignment horizontal="center" vertical="center"/>
    </xf>
    <xf numFmtId="164" fontId="0" fillId="30" borderId="1" xfId="0" applyNumberFormat="1" applyFill="1" applyBorder="1" applyAlignment="1">
      <alignment horizontal="center" vertical="center"/>
    </xf>
    <xf numFmtId="164" fontId="0" fillId="11" borderId="1" xfId="0" applyNumberFormat="1" applyFill="1" applyBorder="1" applyAlignment="1">
      <alignment horizontal="center" vertical="center"/>
    </xf>
    <xf numFmtId="164" fontId="0" fillId="11" borderId="5" xfId="0" applyNumberFormat="1" applyFill="1" applyBorder="1" applyAlignment="1">
      <alignment horizontal="center" vertical="center"/>
    </xf>
    <xf numFmtId="164" fontId="0" fillId="11" borderId="6" xfId="0" applyNumberFormat="1" applyFill="1" applyBorder="1" applyAlignment="1">
      <alignment horizontal="center" vertical="center"/>
    </xf>
    <xf numFmtId="164" fontId="0" fillId="30" borderId="6" xfId="0" applyNumberFormat="1" applyFill="1" applyBorder="1" applyAlignment="1">
      <alignment horizontal="center" vertical="center"/>
    </xf>
    <xf numFmtId="0" fontId="43" fillId="18" borderId="0" xfId="0" applyFont="1" applyFill="1"/>
    <xf numFmtId="0" fontId="43" fillId="0" borderId="0" xfId="0" applyFont="1"/>
    <xf numFmtId="165" fontId="43" fillId="0" borderId="0" xfId="0" applyNumberFormat="1" applyFont="1"/>
    <xf numFmtId="4" fontId="43" fillId="18" borderId="0" xfId="0" applyNumberFormat="1" applyFont="1" applyFill="1"/>
    <xf numFmtId="44" fontId="43" fillId="0" borderId="0" xfId="4" applyFont="1"/>
    <xf numFmtId="44" fontId="44" fillId="0" borderId="0" xfId="4" applyFont="1"/>
    <xf numFmtId="4" fontId="9" fillId="2" borderId="41" xfId="0" applyNumberFormat="1" applyFont="1" applyFill="1" applyBorder="1"/>
    <xf numFmtId="0" fontId="29" fillId="2" borderId="17" xfId="0" applyFont="1" applyFill="1" applyBorder="1"/>
    <xf numFmtId="0" fontId="17" fillId="21" borderId="0" xfId="0" applyFont="1" applyFill="1" applyAlignment="1">
      <alignment horizontal="center" vertical="center" wrapText="1"/>
    </xf>
    <xf numFmtId="4" fontId="17" fillId="21" borderId="0" xfId="0" applyNumberFormat="1" applyFont="1" applyFill="1" applyAlignment="1">
      <alignment horizontal="right" vertical="center" wrapText="1"/>
    </xf>
    <xf numFmtId="0" fontId="27" fillId="21" borderId="0" xfId="0" applyFont="1" applyFill="1" applyAlignment="1">
      <alignment horizontal="center" vertical="top" wrapText="1"/>
    </xf>
    <xf numFmtId="0" fontId="27" fillId="21" borderId="0" xfId="0" applyFont="1" applyFill="1" applyAlignment="1">
      <alignment horizontal="center" vertical="center" wrapText="1"/>
    </xf>
    <xf numFmtId="0" fontId="27" fillId="21" borderId="0" xfId="0" applyFont="1" applyFill="1" applyAlignment="1">
      <alignment vertical="top" wrapText="1"/>
    </xf>
    <xf numFmtId="0" fontId="19" fillId="21" borderId="0" xfId="0" applyFont="1" applyFill="1" applyAlignment="1">
      <alignment vertical="center" wrapText="1"/>
    </xf>
    <xf numFmtId="0" fontId="27" fillId="19" borderId="14" xfId="0" applyFont="1" applyFill="1" applyBorder="1" applyAlignment="1">
      <alignment vertical="top" wrapText="1"/>
    </xf>
    <xf numFmtId="0" fontId="19" fillId="21" borderId="0" xfId="0" applyFont="1" applyFill="1" applyAlignment="1">
      <alignment vertical="center"/>
    </xf>
    <xf numFmtId="0" fontId="19" fillId="21" borderId="0" xfId="0" applyFont="1" applyFill="1" applyAlignment="1">
      <alignment vertical="top" wrapText="1"/>
    </xf>
    <xf numFmtId="0" fontId="27" fillId="22" borderId="1" xfId="0" applyFont="1" applyFill="1" applyBorder="1" applyAlignment="1">
      <alignment horizontal="center" vertical="center" wrapText="1"/>
    </xf>
    <xf numFmtId="0" fontId="18" fillId="22" borderId="1" xfId="0" applyFont="1" applyFill="1" applyBorder="1" applyAlignment="1">
      <alignment horizontal="center" vertical="center" wrapText="1"/>
    </xf>
    <xf numFmtId="4" fontId="18" fillId="22" borderId="1" xfId="0" applyNumberFormat="1" applyFont="1" applyFill="1" applyBorder="1" applyAlignment="1">
      <alignment horizontal="center" vertical="center" wrapText="1"/>
    </xf>
    <xf numFmtId="0" fontId="27" fillId="23" borderId="0" xfId="0" applyFont="1" applyFill="1" applyAlignment="1">
      <alignment horizontal="center" vertical="center" wrapText="1"/>
    </xf>
    <xf numFmtId="0" fontId="18" fillId="23" borderId="0" xfId="0" applyFont="1" applyFill="1" applyAlignment="1">
      <alignment horizontal="center" vertical="center" wrapText="1"/>
    </xf>
    <xf numFmtId="4" fontId="18" fillId="23" borderId="0" xfId="0" applyNumberFormat="1" applyFont="1" applyFill="1" applyAlignment="1">
      <alignment horizontal="center" vertical="center" wrapText="1"/>
    </xf>
    <xf numFmtId="2" fontId="27" fillId="23" borderId="0" xfId="0" applyNumberFormat="1" applyFont="1" applyFill="1" applyAlignment="1">
      <alignment horizontal="right" vertical="center" wrapText="1"/>
    </xf>
    <xf numFmtId="0" fontId="18" fillId="21" borderId="0" xfId="0" applyFont="1" applyFill="1" applyAlignment="1">
      <alignment horizontal="center" vertical="center" wrapText="1"/>
    </xf>
    <xf numFmtId="4" fontId="18" fillId="21" borderId="0" xfId="0" applyNumberFormat="1" applyFont="1" applyFill="1" applyAlignment="1">
      <alignment horizontal="center" vertical="center" wrapText="1"/>
    </xf>
    <xf numFmtId="0" fontId="17" fillId="21" borderId="0" xfId="0" applyFont="1" applyFill="1" applyAlignment="1">
      <alignment vertical="center" wrapText="1"/>
    </xf>
    <xf numFmtId="0" fontId="33" fillId="16" borderId="0" xfId="0" applyFont="1" applyFill="1"/>
    <xf numFmtId="0" fontId="17" fillId="21" borderId="0" xfId="0" applyFont="1" applyFill="1" applyAlignment="1">
      <alignment horizontal="left" vertical="center" wrapText="1"/>
    </xf>
    <xf numFmtId="0" fontId="17" fillId="24" borderId="0" xfId="0" applyFont="1" applyFill="1" applyAlignment="1">
      <alignment horizontal="center" vertical="center" wrapText="1"/>
    </xf>
    <xf numFmtId="4" fontId="17" fillId="24" borderId="0" xfId="0" applyNumberFormat="1" applyFont="1" applyFill="1" applyAlignment="1">
      <alignment horizontal="right" vertical="center" wrapText="1"/>
    </xf>
    <xf numFmtId="0" fontId="27" fillId="22" borderId="1" xfId="0" applyFont="1" applyFill="1" applyBorder="1" applyAlignment="1">
      <alignment horizontal="center" vertical="top" wrapText="1"/>
    </xf>
    <xf numFmtId="0" fontId="19" fillId="11" borderId="1" xfId="0" applyFont="1" applyFill="1" applyBorder="1" applyAlignment="1">
      <alignment horizontal="center" vertical="center"/>
    </xf>
    <xf numFmtId="0" fontId="19" fillId="11" borderId="1" xfId="0" applyFont="1" applyFill="1" applyBorder="1" applyAlignment="1">
      <alignment vertical="top" wrapText="1"/>
    </xf>
    <xf numFmtId="0" fontId="19" fillId="11" borderId="1" xfId="0" applyFont="1" applyFill="1" applyBorder="1" applyAlignment="1">
      <alignment vertical="center" wrapText="1"/>
    </xf>
    <xf numFmtId="0" fontId="19" fillId="11" borderId="1" xfId="0" applyFont="1" applyFill="1" applyBorder="1" applyAlignment="1">
      <alignment vertical="center"/>
    </xf>
    <xf numFmtId="0" fontId="17" fillId="0" borderId="1" xfId="0" applyFont="1" applyBorder="1" applyAlignment="1">
      <alignment horizontal="center" vertical="center"/>
    </xf>
    <xf numFmtId="0" fontId="17" fillId="7" borderId="1" xfId="0" applyFont="1" applyFill="1" applyBorder="1" applyAlignment="1">
      <alignment horizontal="center" vertical="center"/>
    </xf>
    <xf numFmtId="4" fontId="17" fillId="0" borderId="1" xfId="0" applyNumberFormat="1" applyFont="1" applyBorder="1" applyAlignment="1">
      <alignment horizontal="right" vertical="center"/>
    </xf>
    <xf numFmtId="0" fontId="19" fillId="11" borderId="1"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9" fillId="26" borderId="1" xfId="0" applyFont="1" applyFill="1" applyBorder="1" applyAlignment="1">
      <alignment vertical="center" wrapText="1"/>
    </xf>
    <xf numFmtId="0" fontId="19" fillId="11" borderId="1" xfId="0" applyFont="1" applyFill="1" applyBorder="1" applyAlignment="1">
      <alignment horizontal="left" vertical="center"/>
    </xf>
    <xf numFmtId="0" fontId="19" fillId="27" borderId="1" xfId="0" applyFont="1" applyFill="1" applyBorder="1" applyAlignment="1">
      <alignment vertical="top" wrapText="1"/>
    </xf>
    <xf numFmtId="0" fontId="19" fillId="28" borderId="1" xfId="0" applyFont="1" applyFill="1" applyBorder="1" applyAlignment="1">
      <alignment vertical="top" wrapText="1"/>
    </xf>
    <xf numFmtId="0" fontId="18" fillId="21" borderId="0" xfId="0" applyFont="1" applyFill="1" applyAlignment="1">
      <alignment horizontal="center" vertical="top" wrapText="1"/>
    </xf>
    <xf numFmtId="4" fontId="18" fillId="21" borderId="0" xfId="0" applyNumberFormat="1" applyFont="1" applyFill="1" applyAlignment="1">
      <alignment horizontal="right" vertical="top" wrapText="1"/>
    </xf>
    <xf numFmtId="0" fontId="19" fillId="0" borderId="0" xfId="0" applyFont="1" applyAlignment="1">
      <alignment vertical="center"/>
    </xf>
    <xf numFmtId="0" fontId="19" fillId="0" borderId="0" xfId="0" applyFont="1" applyAlignment="1">
      <alignment vertical="top" wrapText="1"/>
    </xf>
    <xf numFmtId="0" fontId="19" fillId="0" borderId="0" xfId="0" applyFont="1" applyAlignment="1">
      <alignment vertical="center" wrapText="1"/>
    </xf>
    <xf numFmtId="0" fontId="17" fillId="0" borderId="0" xfId="0" applyFont="1" applyAlignment="1">
      <alignment horizontal="center" vertical="center" wrapText="1"/>
    </xf>
    <xf numFmtId="0" fontId="18" fillId="0" borderId="0" xfId="0" applyFont="1" applyAlignment="1">
      <alignment horizontal="center" vertical="top" wrapText="1"/>
    </xf>
    <xf numFmtId="4" fontId="18" fillId="0" borderId="0" xfId="0" applyNumberFormat="1" applyFont="1" applyAlignment="1">
      <alignment horizontal="right" vertical="top" wrapText="1"/>
    </xf>
    <xf numFmtId="0" fontId="19" fillId="26" borderId="1" xfId="0" applyFont="1" applyFill="1" applyBorder="1" applyAlignment="1">
      <alignment vertical="top" wrapText="1"/>
    </xf>
    <xf numFmtId="0" fontId="19" fillId="11" borderId="22" xfId="0" applyFont="1" applyFill="1" applyBorder="1" applyAlignment="1">
      <alignment horizontal="center" vertical="center"/>
    </xf>
    <xf numFmtId="0" fontId="19" fillId="26" borderId="22" xfId="0" applyFont="1" applyFill="1" applyBorder="1" applyAlignment="1">
      <alignment vertical="top" wrapText="1"/>
    </xf>
    <xf numFmtId="0" fontId="19" fillId="11" borderId="22" xfId="0" applyFont="1" applyFill="1" applyBorder="1" applyAlignment="1">
      <alignment vertical="center" wrapText="1"/>
    </xf>
    <xf numFmtId="0" fontId="19" fillId="11" borderId="22" xfId="0" applyFont="1" applyFill="1" applyBorder="1" applyAlignment="1">
      <alignment vertical="center"/>
    </xf>
    <xf numFmtId="0" fontId="17" fillId="7" borderId="22" xfId="0" applyFont="1" applyFill="1" applyBorder="1" applyAlignment="1">
      <alignment horizontal="center" vertical="center"/>
    </xf>
    <xf numFmtId="4" fontId="17" fillId="0" borderId="22" xfId="0" applyNumberFormat="1" applyFont="1" applyBorder="1" applyAlignment="1">
      <alignment horizontal="right" vertical="center"/>
    </xf>
    <xf numFmtId="0" fontId="19" fillId="11" borderId="13" xfId="0" applyFont="1" applyFill="1" applyBorder="1" applyAlignment="1">
      <alignment horizontal="center" vertical="center"/>
    </xf>
    <xf numFmtId="0" fontId="19" fillId="26" borderId="13" xfId="0" applyFont="1" applyFill="1" applyBorder="1" applyAlignment="1">
      <alignment vertical="top" wrapText="1"/>
    </xf>
    <xf numFmtId="0" fontId="19" fillId="11" borderId="13" xfId="0" applyFont="1" applyFill="1" applyBorder="1" applyAlignment="1">
      <alignment vertical="center" wrapText="1"/>
    </xf>
    <xf numFmtId="0" fontId="19" fillId="11" borderId="13" xfId="0" applyFont="1" applyFill="1" applyBorder="1" applyAlignment="1">
      <alignment vertical="center"/>
    </xf>
    <xf numFmtId="0" fontId="17" fillId="7" borderId="13" xfId="0" applyFont="1" applyFill="1" applyBorder="1" applyAlignment="1">
      <alignment horizontal="center" vertical="center"/>
    </xf>
    <xf numFmtId="4" fontId="17" fillId="0" borderId="13" xfId="0" applyNumberFormat="1" applyFont="1" applyBorder="1" applyAlignment="1">
      <alignment horizontal="right" vertical="center"/>
    </xf>
    <xf numFmtId="4" fontId="17" fillId="0" borderId="0" xfId="0" applyNumberFormat="1" applyFont="1" applyAlignment="1">
      <alignment horizontal="right" vertical="center" wrapText="1"/>
    </xf>
    <xf numFmtId="0" fontId="27" fillId="22" borderId="1" xfId="0" applyFont="1" applyFill="1" applyBorder="1" applyAlignment="1">
      <alignment horizontal="center" vertical="center"/>
    </xf>
    <xf numFmtId="0" fontId="18" fillId="7" borderId="1" xfId="0" applyFont="1" applyFill="1" applyBorder="1" applyAlignment="1">
      <alignment horizontal="center" vertical="center"/>
    </xf>
    <xf numFmtId="0" fontId="19" fillId="11" borderId="1" xfId="0" applyFont="1" applyFill="1" applyBorder="1" applyAlignment="1">
      <alignment horizontal="center" vertical="center" wrapText="1"/>
    </xf>
    <xf numFmtId="0" fontId="8" fillId="16" borderId="0" xfId="0" applyFont="1" applyFill="1"/>
    <xf numFmtId="0" fontId="8" fillId="16" borderId="0" xfId="0" applyFont="1" applyFill="1" applyAlignment="1">
      <alignment vertical="top" wrapText="1"/>
    </xf>
    <xf numFmtId="0" fontId="8" fillId="16" borderId="0" xfId="0" applyFont="1" applyFill="1" applyAlignment="1">
      <alignment horizontal="center" vertical="center"/>
    </xf>
    <xf numFmtId="0" fontId="0" fillId="16" borderId="0" xfId="0" applyFill="1" applyAlignment="1">
      <alignment horizontal="center" vertical="center"/>
    </xf>
    <xf numFmtId="0" fontId="18" fillId="24" borderId="0" xfId="0" applyFont="1" applyFill="1" applyAlignment="1">
      <alignment horizontal="center" vertical="top" wrapText="1"/>
    </xf>
    <xf numFmtId="4" fontId="18" fillId="24" borderId="0" xfId="0" applyNumberFormat="1" applyFont="1" applyFill="1" applyAlignment="1">
      <alignment horizontal="right" vertical="top" wrapText="1"/>
    </xf>
    <xf numFmtId="0" fontId="8" fillId="0" borderId="0" xfId="0" applyFont="1"/>
    <xf numFmtId="0" fontId="8" fillId="0" borderId="0" xfId="0" applyFont="1" applyAlignment="1">
      <alignment vertical="top" wrapText="1"/>
    </xf>
    <xf numFmtId="0" fontId="8" fillId="0" borderId="0" xfId="0" applyFont="1" applyAlignment="1">
      <alignment horizontal="center" vertical="center"/>
    </xf>
    <xf numFmtId="0" fontId="0" fillId="0" borderId="0" xfId="0" applyAlignment="1">
      <alignment horizontal="center" vertical="center"/>
    </xf>
    <xf numFmtId="0" fontId="8" fillId="16" borderId="11" xfId="0" applyFont="1" applyFill="1" applyBorder="1"/>
    <xf numFmtId="0" fontId="8" fillId="16" borderId="12" xfId="0" applyFont="1" applyFill="1" applyBorder="1" applyAlignment="1">
      <alignment vertical="top" wrapText="1"/>
    </xf>
    <xf numFmtId="0" fontId="8" fillId="16" borderId="12" xfId="0" applyFont="1" applyFill="1" applyBorder="1" applyAlignment="1">
      <alignment horizontal="center" vertical="center"/>
    </xf>
    <xf numFmtId="4" fontId="23" fillId="16" borderId="9" xfId="0" applyNumberFormat="1" applyFont="1" applyFill="1" applyBorder="1" applyAlignment="1">
      <alignment horizontal="center" vertical="center"/>
    </xf>
    <xf numFmtId="0" fontId="27" fillId="19" borderId="16" xfId="0" applyFont="1" applyFill="1" applyBorder="1" applyAlignment="1">
      <alignment horizontal="center" vertical="center"/>
    </xf>
    <xf numFmtId="0" fontId="28" fillId="19" borderId="17" xfId="0" applyFont="1" applyFill="1" applyBorder="1" applyAlignment="1">
      <alignment horizontal="center" vertical="center" wrapText="1"/>
    </xf>
    <xf numFmtId="0" fontId="30" fillId="19" borderId="18" xfId="0" applyFont="1" applyFill="1" applyBorder="1" applyAlignment="1">
      <alignment horizontal="center" vertical="center" wrapText="1"/>
    </xf>
    <xf numFmtId="43" fontId="40" fillId="18" borderId="1" xfId="1" applyFont="1" applyFill="1" applyBorder="1" applyAlignment="1">
      <alignment horizontal="center" vertical="center" wrapText="1"/>
    </xf>
    <xf numFmtId="43" fontId="40" fillId="18" borderId="1" xfId="1" applyFont="1" applyFill="1" applyBorder="1" applyAlignment="1">
      <alignment horizontal="center" vertical="center"/>
    </xf>
    <xf numFmtId="43" fontId="41" fillId="18" borderId="48" xfId="1" applyFont="1" applyFill="1" applyBorder="1"/>
    <xf numFmtId="168" fontId="40" fillId="18" borderId="1" xfId="0" applyNumberFormat="1" applyFont="1" applyFill="1" applyBorder="1" applyAlignment="1">
      <alignment horizontal="center" vertical="center"/>
    </xf>
    <xf numFmtId="0" fontId="2" fillId="3" borderId="40"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41"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42" fillId="0" borderId="0" xfId="0" applyFont="1" applyAlignment="1">
      <alignment horizontal="center" vertical="center" wrapText="1"/>
    </xf>
    <xf numFmtId="0" fontId="16" fillId="0" borderId="0" xfId="0" applyFont="1" applyAlignment="1">
      <alignment horizontal="left" vertical="center" wrapText="1"/>
    </xf>
    <xf numFmtId="0" fontId="13" fillId="0" borderId="11" xfId="0" applyFont="1" applyBorder="1" applyAlignment="1">
      <alignment horizontal="center" vertical="center" wrapText="1"/>
    </xf>
    <xf numFmtId="0" fontId="13" fillId="0" borderId="9" xfId="0" applyFont="1" applyBorder="1" applyAlignment="1">
      <alignment horizontal="center" vertical="center" wrapText="1"/>
    </xf>
    <xf numFmtId="0" fontId="13" fillId="14" borderId="0" xfId="0" applyFont="1" applyFill="1" applyAlignment="1">
      <alignment horizontal="center" vertical="center"/>
    </xf>
    <xf numFmtId="0" fontId="13" fillId="15" borderId="0" xfId="0" applyFont="1" applyFill="1" applyAlignment="1">
      <alignment horizontal="center" vertical="center"/>
    </xf>
    <xf numFmtId="0" fontId="10" fillId="12" borderId="0" xfId="0" applyFont="1" applyFill="1" applyAlignment="1">
      <alignment horizontal="center"/>
    </xf>
    <xf numFmtId="0" fontId="12" fillId="0" borderId="0" xfId="0" applyFont="1" applyAlignment="1">
      <alignment horizontal="center"/>
    </xf>
    <xf numFmtId="0" fontId="13" fillId="14" borderId="11" xfId="0" applyFont="1" applyFill="1" applyBorder="1" applyAlignment="1">
      <alignment horizontal="center" vertical="center"/>
    </xf>
    <xf numFmtId="0" fontId="13" fillId="14" borderId="12" xfId="0" applyFont="1" applyFill="1" applyBorder="1" applyAlignment="1">
      <alignment horizontal="center" vertical="center"/>
    </xf>
    <xf numFmtId="0" fontId="13" fillId="14" borderId="9" xfId="0" applyFont="1" applyFill="1" applyBorder="1" applyAlignment="1">
      <alignment horizontal="center" vertical="center"/>
    </xf>
    <xf numFmtId="0" fontId="13" fillId="0" borderId="12" xfId="0" applyFont="1" applyBorder="1" applyAlignment="1">
      <alignment horizontal="center" vertical="center" wrapText="1"/>
    </xf>
    <xf numFmtId="0" fontId="13" fillId="15" borderId="0" xfId="0" applyFont="1" applyFill="1" applyAlignment="1">
      <alignment horizontal="center" vertical="center" wrapText="1"/>
    </xf>
    <xf numFmtId="0" fontId="25" fillId="0" borderId="11"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9" xfId="0" applyFont="1" applyBorder="1" applyAlignment="1">
      <alignment horizontal="center" vertical="center" wrapText="1"/>
    </xf>
    <xf numFmtId="0" fontId="13" fillId="14" borderId="16" xfId="0" applyFont="1" applyFill="1" applyBorder="1" applyAlignment="1">
      <alignment horizontal="center" vertical="center"/>
    </xf>
    <xf numFmtId="0" fontId="13" fillId="14" borderId="17" xfId="0" applyFont="1" applyFill="1" applyBorder="1" applyAlignment="1">
      <alignment horizontal="center" vertical="center"/>
    </xf>
    <xf numFmtId="0" fontId="13" fillId="14" borderId="18" xfId="0" applyFont="1" applyFill="1" applyBorder="1" applyAlignment="1">
      <alignment horizontal="center" vertical="center"/>
    </xf>
    <xf numFmtId="0" fontId="13" fillId="14" borderId="15" xfId="0" applyFont="1" applyFill="1" applyBorder="1" applyAlignment="1">
      <alignment horizontal="center" vertical="center"/>
    </xf>
    <xf numFmtId="0" fontId="13" fillId="14" borderId="19" xfId="0" applyFont="1" applyFill="1" applyBorder="1" applyAlignment="1">
      <alignment horizontal="center" vertical="center"/>
    </xf>
    <xf numFmtId="0" fontId="13" fillId="14" borderId="3" xfId="0" applyFont="1" applyFill="1" applyBorder="1" applyAlignment="1">
      <alignment horizontal="center" vertical="center"/>
    </xf>
    <xf numFmtId="0" fontId="16" fillId="18" borderId="0" xfId="0" applyFont="1" applyFill="1" applyAlignment="1">
      <alignment horizontal="left" vertical="center" wrapText="1"/>
    </xf>
    <xf numFmtId="0" fontId="28" fillId="20" borderId="17" xfId="0" applyFont="1" applyFill="1" applyBorder="1" applyAlignment="1">
      <alignment horizontal="center" vertical="center" wrapText="1"/>
    </xf>
    <xf numFmtId="0" fontId="29" fillId="2" borderId="17" xfId="0" applyFont="1" applyFill="1" applyBorder="1"/>
    <xf numFmtId="0" fontId="31" fillId="21" borderId="20" xfId="0" applyFont="1" applyFill="1" applyBorder="1" applyAlignment="1">
      <alignment horizontal="center" vertical="center" wrapText="1"/>
    </xf>
    <xf numFmtId="0" fontId="32" fillId="0" borderId="20" xfId="0" applyFont="1" applyBorder="1"/>
    <xf numFmtId="0" fontId="31" fillId="21" borderId="0" xfId="0" applyFont="1" applyFill="1" applyAlignment="1">
      <alignment horizontal="center" vertical="center" wrapText="1"/>
    </xf>
    <xf numFmtId="0" fontId="32" fillId="0" borderId="0" xfId="0" applyFont="1"/>
    <xf numFmtId="0" fontId="31" fillId="21" borderId="21" xfId="0" applyFont="1" applyFill="1" applyBorder="1" applyAlignment="1">
      <alignment horizontal="center" vertical="center" wrapText="1"/>
    </xf>
    <xf numFmtId="0" fontId="32" fillId="0" borderId="21" xfId="0" applyFont="1" applyBorder="1"/>
    <xf numFmtId="0" fontId="27" fillId="22" borderId="2" xfId="0" applyFont="1" applyFill="1" applyBorder="1" applyAlignment="1">
      <alignment horizontal="center" vertical="center" wrapText="1"/>
    </xf>
    <xf numFmtId="0" fontId="27" fillId="22" borderId="7" xfId="0" applyFont="1" applyFill="1" applyBorder="1" applyAlignment="1">
      <alignment horizontal="center" vertical="center" wrapText="1"/>
    </xf>
    <xf numFmtId="4" fontId="18" fillId="22" borderId="1" xfId="0" applyNumberFormat="1" applyFont="1" applyFill="1" applyBorder="1" applyAlignment="1">
      <alignment horizontal="center" vertical="center" wrapText="1"/>
    </xf>
    <xf numFmtId="4" fontId="19" fillId="19" borderId="2" xfId="0" applyNumberFormat="1" applyFont="1" applyFill="1" applyBorder="1" applyAlignment="1">
      <alignment horizontal="center" vertical="center" wrapText="1"/>
    </xf>
    <xf numFmtId="4" fontId="19" fillId="19" borderId="7" xfId="0" applyNumberFormat="1" applyFont="1" applyFill="1" applyBorder="1" applyAlignment="1">
      <alignment horizontal="center" vertical="center" wrapText="1"/>
    </xf>
    <xf numFmtId="4" fontId="17" fillId="19" borderId="1" xfId="0" applyNumberFormat="1" applyFont="1" applyFill="1" applyBorder="1" applyAlignment="1">
      <alignment horizontal="center" vertical="center" wrapText="1"/>
    </xf>
    <xf numFmtId="0" fontId="22" fillId="25" borderId="0" xfId="0" applyFont="1" applyFill="1" applyAlignment="1">
      <alignment horizontal="center" vertical="center" wrapText="1"/>
    </xf>
    <xf numFmtId="0" fontId="22" fillId="25" borderId="1" xfId="0" applyFont="1" applyFill="1" applyBorder="1" applyAlignment="1">
      <alignment horizontal="center" vertical="top" wrapText="1"/>
    </xf>
    <xf numFmtId="0" fontId="23" fillId="16" borderId="12" xfId="0" applyFont="1" applyFill="1" applyBorder="1" applyAlignment="1">
      <alignment horizontal="center" vertical="center"/>
    </xf>
    <xf numFmtId="4" fontId="27" fillId="21" borderId="24" xfId="0" applyNumberFormat="1" applyFont="1" applyFill="1" applyBorder="1" applyAlignment="1">
      <alignment horizontal="center" vertical="center" wrapText="1"/>
    </xf>
    <xf numFmtId="4" fontId="27" fillId="21" borderId="0" xfId="0" applyNumberFormat="1" applyFont="1" applyFill="1" applyAlignment="1">
      <alignment horizontal="center" vertical="center" wrapText="1"/>
    </xf>
    <xf numFmtId="0" fontId="21" fillId="25" borderId="0" xfId="0" applyFont="1" applyFill="1" applyAlignment="1">
      <alignment horizontal="center" vertical="center" wrapText="1"/>
    </xf>
    <xf numFmtId="0" fontId="21" fillId="25" borderId="1" xfId="0" applyFont="1" applyFill="1" applyBorder="1" applyAlignment="1">
      <alignment horizontal="center" vertical="center" wrapText="1"/>
    </xf>
    <xf numFmtId="0" fontId="34" fillId="0" borderId="0" xfId="5" applyFont="1" applyAlignment="1">
      <alignment horizontal="center"/>
    </xf>
    <xf numFmtId="0" fontId="34" fillId="0" borderId="23" xfId="5" applyFont="1" applyBorder="1" applyAlignment="1">
      <alignment horizontal="center"/>
    </xf>
    <xf numFmtId="0" fontId="23" fillId="0" borderId="24" xfId="5" applyFont="1" applyBorder="1" applyAlignment="1">
      <alignment horizontal="right"/>
    </xf>
    <xf numFmtId="0" fontId="23" fillId="0" borderId="0" xfId="5" applyFont="1" applyAlignment="1">
      <alignment horizontal="right"/>
    </xf>
    <xf numFmtId="0" fontId="23" fillId="11" borderId="0" xfId="5" applyFont="1" applyFill="1" applyAlignment="1">
      <alignment horizontal="right"/>
    </xf>
    <xf numFmtId="0" fontId="36" fillId="0" borderId="22" xfId="0" applyFont="1" applyBorder="1" applyAlignment="1">
      <alignment horizontal="center" vertical="center"/>
    </xf>
    <xf numFmtId="0" fontId="36" fillId="0" borderId="29" xfId="0" applyFont="1" applyBorder="1" applyAlignment="1">
      <alignment horizontal="center" vertical="center"/>
    </xf>
    <xf numFmtId="0" fontId="36" fillId="0" borderId="30" xfId="0" applyFont="1" applyBorder="1" applyAlignment="1">
      <alignment horizontal="center" vertical="center"/>
    </xf>
    <xf numFmtId="0" fontId="36" fillId="0" borderId="22" xfId="0" applyFont="1" applyBorder="1" applyAlignment="1">
      <alignment horizontal="center" vertical="center" wrapText="1"/>
    </xf>
    <xf numFmtId="0" fontId="36" fillId="0" borderId="29" xfId="0" applyFont="1" applyBorder="1" applyAlignment="1">
      <alignment horizontal="center" vertical="center" wrapText="1"/>
    </xf>
    <xf numFmtId="0" fontId="36" fillId="0" borderId="30" xfId="0" applyFont="1" applyBorder="1" applyAlignment="1">
      <alignment horizontal="center" vertical="center" wrapText="1"/>
    </xf>
    <xf numFmtId="0" fontId="36" fillId="18" borderId="1" xfId="0" applyFont="1" applyFill="1" applyBorder="1" applyAlignment="1">
      <alignment horizontal="center" vertical="center"/>
    </xf>
  </cellXfs>
  <cellStyles count="6">
    <cellStyle name="Hyperlink" xfId="3" xr:uid="{24E653AF-BCC0-4598-88D7-49183F47E6CF}"/>
    <cellStyle name="Moeda" xfId="4" builtinId="4"/>
    <cellStyle name="Normal" xfId="0" builtinId="0"/>
    <cellStyle name="Normal 2" xfId="5" xr:uid="{19D79737-63BC-411C-B64C-F5BABAD7F449}"/>
    <cellStyle name="Porcentagem" xfId="2" builtinId="5"/>
    <cellStyle name="Vírgula" xfId="1" builtinId="3"/>
  </cellStyles>
  <dxfs count="0"/>
  <tableStyles count="0" defaultTableStyle="TableStyleMedium2" defaultPivotStyle="PivotStyleLight16"/>
  <colors>
    <mruColors>
      <color rgb="FFFF25CB"/>
      <color rgb="FFFE98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15"/>
  <sheetViews>
    <sheetView zoomScale="130" zoomScaleNormal="130" workbookViewId="0">
      <selection activeCell="B13" sqref="B13"/>
    </sheetView>
  </sheetViews>
  <sheetFormatPr defaultRowHeight="15" x14ac:dyDescent="0.25"/>
  <cols>
    <col min="1" max="1" width="30.28515625" bestFit="1" customWidth="1"/>
    <col min="2" max="2" width="9.7109375" customWidth="1"/>
    <col min="3" max="3" width="15.85546875" bestFit="1" customWidth="1"/>
    <col min="4" max="4" width="15" bestFit="1" customWidth="1"/>
    <col min="5" max="5" width="13.140625" bestFit="1" customWidth="1"/>
  </cols>
  <sheetData>
    <row r="2" spans="1:5" x14ac:dyDescent="0.25">
      <c r="A2" s="23" t="s">
        <v>16</v>
      </c>
      <c r="B2" s="19" t="s">
        <v>60</v>
      </c>
      <c r="C2" s="19" t="s">
        <v>61</v>
      </c>
      <c r="D2" s="19" t="s">
        <v>62</v>
      </c>
      <c r="E2" s="19" t="s">
        <v>63</v>
      </c>
    </row>
    <row r="3" spans="1:5" x14ac:dyDescent="0.25">
      <c r="A3" s="18" t="s">
        <v>7</v>
      </c>
      <c r="B3" s="20" t="e">
        <f>#REF!</f>
        <v>#REF!</v>
      </c>
      <c r="C3" s="20" t="e">
        <f>#REF!</f>
        <v>#REF!</v>
      </c>
      <c r="D3" s="21" t="e">
        <f>#REF!</f>
        <v>#REF!</v>
      </c>
      <c r="E3" s="22" t="e">
        <f>#REF!</f>
        <v>#REF!</v>
      </c>
    </row>
    <row r="4" spans="1:5" x14ac:dyDescent="0.25">
      <c r="A4" s="18" t="s">
        <v>8</v>
      </c>
      <c r="B4" s="20" t="e">
        <f>#REF!</f>
        <v>#REF!</v>
      </c>
      <c r="C4" s="20" t="e">
        <f>#REF!</f>
        <v>#REF!</v>
      </c>
      <c r="D4" s="21" t="e">
        <f>#REF!</f>
        <v>#REF!</v>
      </c>
      <c r="E4" s="22" t="e">
        <f>#REF!</f>
        <v>#REF!</v>
      </c>
    </row>
    <row r="5" spans="1:5" x14ac:dyDescent="0.25">
      <c r="A5" s="18" t="s">
        <v>54</v>
      </c>
      <c r="B5" s="20" t="e">
        <f>#REF!</f>
        <v>#REF!</v>
      </c>
      <c r="C5" s="20" t="e">
        <f>#REF!</f>
        <v>#REF!</v>
      </c>
      <c r="D5" s="21" t="e">
        <f>#REF!</f>
        <v>#REF!</v>
      </c>
      <c r="E5" s="22" t="e">
        <f>#REF!</f>
        <v>#REF!</v>
      </c>
    </row>
    <row r="6" spans="1:5" x14ac:dyDescent="0.25">
      <c r="A6" s="18" t="s">
        <v>9</v>
      </c>
      <c r="B6" s="20" t="e">
        <f>#REF!</f>
        <v>#REF!</v>
      </c>
      <c r="C6" s="20" t="e">
        <f>#REF!</f>
        <v>#REF!</v>
      </c>
      <c r="D6" s="21" t="e">
        <f>#REF!</f>
        <v>#REF!</v>
      </c>
      <c r="E6" s="22" t="e">
        <f>#REF!</f>
        <v>#REF!</v>
      </c>
    </row>
    <row r="7" spans="1:5" x14ac:dyDescent="0.25">
      <c r="A7" s="18" t="s">
        <v>10</v>
      </c>
      <c r="B7" s="20" t="e">
        <f>#REF!</f>
        <v>#REF!</v>
      </c>
      <c r="C7" s="20" t="e">
        <f>#REF!</f>
        <v>#REF!</v>
      </c>
      <c r="D7" s="21" t="e">
        <f>#REF!</f>
        <v>#REF!</v>
      </c>
      <c r="E7" s="22" t="e">
        <f>#REF!</f>
        <v>#REF!</v>
      </c>
    </row>
    <row r="8" spans="1:5" x14ac:dyDescent="0.25">
      <c r="A8" s="18" t="s">
        <v>11</v>
      </c>
      <c r="B8" s="20" t="e">
        <f>#REF!</f>
        <v>#REF!</v>
      </c>
      <c r="C8" s="20" t="e">
        <f>#REF!</f>
        <v>#REF!</v>
      </c>
      <c r="D8" s="21" t="e">
        <f>#REF!</f>
        <v>#REF!</v>
      </c>
      <c r="E8" s="22" t="e">
        <f>#REF!</f>
        <v>#REF!</v>
      </c>
    </row>
    <row r="9" spans="1:5" x14ac:dyDescent="0.25">
      <c r="A9" s="18" t="s">
        <v>12</v>
      </c>
      <c r="B9" s="20" t="e">
        <f>#REF!</f>
        <v>#REF!</v>
      </c>
      <c r="C9" s="20" t="e">
        <f>#REF!</f>
        <v>#REF!</v>
      </c>
      <c r="D9" s="21" t="e">
        <f>#REF!</f>
        <v>#REF!</v>
      </c>
      <c r="E9" s="22" t="e">
        <f>#REF!</f>
        <v>#REF!</v>
      </c>
    </row>
    <row r="10" spans="1:5" x14ac:dyDescent="0.25">
      <c r="A10" s="18" t="s">
        <v>13</v>
      </c>
      <c r="B10" s="20" t="e">
        <f>#REF!</f>
        <v>#REF!</v>
      </c>
      <c r="C10" s="20" t="e">
        <f>#REF!</f>
        <v>#REF!</v>
      </c>
      <c r="D10" s="21" t="e">
        <f>#REF!</f>
        <v>#REF!</v>
      </c>
      <c r="E10" s="22" t="e">
        <f>#REF!</f>
        <v>#REF!</v>
      </c>
    </row>
    <row r="11" spans="1:5" x14ac:dyDescent="0.25">
      <c r="A11" s="18" t="s">
        <v>14</v>
      </c>
      <c r="B11" s="20" t="e">
        <f>#REF!</f>
        <v>#REF!</v>
      </c>
      <c r="C11" s="20" t="e">
        <f>#REF!</f>
        <v>#REF!</v>
      </c>
      <c r="D11" s="21" t="e">
        <f>#REF!</f>
        <v>#REF!</v>
      </c>
      <c r="E11" s="22" t="e">
        <f>#REF!</f>
        <v>#REF!</v>
      </c>
    </row>
    <row r="12" spans="1:5" x14ac:dyDescent="0.25">
      <c r="A12" s="18" t="s">
        <v>15</v>
      </c>
      <c r="B12" s="20" t="e">
        <f>#REF!</f>
        <v>#REF!</v>
      </c>
      <c r="C12" s="20" t="e">
        <f>#REF!</f>
        <v>#REF!</v>
      </c>
      <c r="D12" s="21" t="e">
        <f>#REF!</f>
        <v>#REF!</v>
      </c>
      <c r="E12" s="22" t="e">
        <f>#REF!</f>
        <v>#REF!</v>
      </c>
    </row>
    <row r="13" spans="1:5" ht="30" x14ac:dyDescent="0.25">
      <c r="A13" s="18" t="s">
        <v>17</v>
      </c>
      <c r="B13" s="20" t="e">
        <f>#REF!</f>
        <v>#REF!</v>
      </c>
      <c r="C13" s="20" t="e">
        <f>#REF!</f>
        <v>#REF!</v>
      </c>
      <c r="D13" s="21" t="e">
        <f>#REF!</f>
        <v>#REF!</v>
      </c>
      <c r="E13" s="22" t="e">
        <f>#REF!</f>
        <v>#REF!</v>
      </c>
    </row>
    <row r="14" spans="1:5" ht="30" x14ac:dyDescent="0.25">
      <c r="A14" s="18" t="s">
        <v>18</v>
      </c>
      <c r="B14" s="20" t="e">
        <f>#REF!</f>
        <v>#REF!</v>
      </c>
      <c r="C14" s="20" t="e">
        <f>#REF!</f>
        <v>#REF!</v>
      </c>
      <c r="D14" s="21" t="e">
        <f>#REF!</f>
        <v>#REF!</v>
      </c>
      <c r="E14" s="22" t="e">
        <f>#REF!</f>
        <v>#REF!</v>
      </c>
    </row>
    <row r="15" spans="1:5" x14ac:dyDescent="0.25">
      <c r="A15" s="18" t="s">
        <v>19</v>
      </c>
      <c r="B15" s="20" t="e">
        <f>#REF!</f>
        <v>#REF!</v>
      </c>
      <c r="C15" s="20" t="e">
        <f>#REF!</f>
        <v>#REF!</v>
      </c>
      <c r="D15" s="21" t="e">
        <f>#REF!</f>
        <v>#REF!</v>
      </c>
      <c r="E15" s="22" t="e">
        <f>#REF!</f>
        <v>#REF!</v>
      </c>
    </row>
  </sheetData>
  <pageMargins left="0.511811024" right="0.511811024" top="0.78740157499999996" bottom="0.78740157499999996" header="0.31496062000000002" footer="0.31496062000000002"/>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A7CE0-8B2F-42F3-BDA9-8C4F303D9DD7}">
  <sheetPr>
    <tabColor theme="5" tint="0.59999389629810485"/>
  </sheetPr>
  <dimension ref="A2:M14"/>
  <sheetViews>
    <sheetView workbookViewId="0">
      <selection activeCell="F5" sqref="F5"/>
    </sheetView>
  </sheetViews>
  <sheetFormatPr defaultRowHeight="15" x14ac:dyDescent="0.25"/>
  <cols>
    <col min="1" max="1" width="5.140625" bestFit="1" customWidth="1"/>
    <col min="2" max="2" width="5.140625" customWidth="1"/>
    <col min="3" max="3" width="20.42578125" bestFit="1" customWidth="1"/>
    <col min="4" max="4" width="6.140625" bestFit="1" customWidth="1"/>
    <col min="5" max="5" width="8.140625" bestFit="1" customWidth="1"/>
    <col min="6" max="6" width="5.42578125" bestFit="1" customWidth="1"/>
    <col min="7" max="7" width="6.5703125" bestFit="1" customWidth="1"/>
    <col min="8" max="8" width="8.28515625" bestFit="1" customWidth="1"/>
    <col min="9" max="9" width="9.42578125" bestFit="1" customWidth="1"/>
    <col min="10" max="10" width="10.140625" bestFit="1" customWidth="1"/>
    <col min="11" max="11" width="11.42578125" bestFit="1" customWidth="1"/>
  </cols>
  <sheetData>
    <row r="2" spans="1:13" ht="29.45" customHeight="1" x14ac:dyDescent="0.25">
      <c r="A2" s="189" t="s">
        <v>439</v>
      </c>
      <c r="B2" s="189" t="s">
        <v>234</v>
      </c>
      <c r="C2" s="189" t="s">
        <v>476</v>
      </c>
      <c r="D2" s="189" t="s">
        <v>463</v>
      </c>
      <c r="E2" s="190" t="s">
        <v>477</v>
      </c>
      <c r="F2" s="190" t="s">
        <v>465</v>
      </c>
      <c r="G2" s="190" t="s">
        <v>470</v>
      </c>
      <c r="H2" s="190" t="s">
        <v>466</v>
      </c>
      <c r="I2" s="190" t="s">
        <v>471</v>
      </c>
      <c r="J2" s="190" t="s">
        <v>472</v>
      </c>
    </row>
    <row r="3" spans="1:13" ht="48" x14ac:dyDescent="0.25">
      <c r="A3" s="368">
        <v>1</v>
      </c>
      <c r="B3" s="191">
        <v>1</v>
      </c>
      <c r="C3" s="192" t="s">
        <v>473</v>
      </c>
      <c r="D3" s="193">
        <v>24090</v>
      </c>
      <c r="E3" s="194" t="s">
        <v>464</v>
      </c>
      <c r="F3" s="195">
        <f>SUM('Novo Simulador'!C4:C10)*12</f>
        <v>77220</v>
      </c>
      <c r="G3" s="195">
        <f>F3*5</f>
        <v>386100</v>
      </c>
      <c r="H3" s="306">
        <f>'Novo Simulador'!G45</f>
        <v>6.7253169365829972</v>
      </c>
      <c r="I3" s="303">
        <f>H3*F3</f>
        <v>519328.97384293907</v>
      </c>
      <c r="J3" s="303">
        <f>I3*5</f>
        <v>2596644.8692146954</v>
      </c>
    </row>
    <row r="4" spans="1:13" ht="48" x14ac:dyDescent="0.25">
      <c r="A4" s="368"/>
      <c r="B4" s="191">
        <v>2</v>
      </c>
      <c r="C4" s="192" t="s">
        <v>474</v>
      </c>
      <c r="D4" s="193">
        <v>24040</v>
      </c>
      <c r="E4" s="194" t="s">
        <v>464</v>
      </c>
      <c r="F4" s="195">
        <f>SUM('Novo Simulador'!C11:C13)*12</f>
        <v>74460</v>
      </c>
      <c r="G4" s="195">
        <f>F4*5</f>
        <v>372300</v>
      </c>
      <c r="H4" s="306">
        <f>'Novo Simulador'!G46</f>
        <v>1.7914976332688763</v>
      </c>
      <c r="I4" s="304">
        <f t="shared" ref="I4:I5" si="0">H4*F4</f>
        <v>133394.91377320053</v>
      </c>
      <c r="J4" s="304">
        <f t="shared" ref="J4:J5" si="1">I4*5</f>
        <v>666974.56886600261</v>
      </c>
    </row>
    <row r="5" spans="1:13" ht="36" x14ac:dyDescent="0.25">
      <c r="A5" s="368"/>
      <c r="B5" s="191">
        <v>3</v>
      </c>
      <c r="C5" s="192" t="s">
        <v>475</v>
      </c>
      <c r="D5" s="193">
        <v>24112</v>
      </c>
      <c r="E5" s="194" t="s">
        <v>464</v>
      </c>
      <c r="F5" s="195">
        <f>SUM('Novo Simulador'!C14:C18)*12</f>
        <v>10800</v>
      </c>
      <c r="G5" s="195">
        <f>F5*5</f>
        <v>54000</v>
      </c>
      <c r="H5" s="306">
        <f>'Novo Simulador'!G47</f>
        <v>1.3733258223740248</v>
      </c>
      <c r="I5" s="304">
        <f t="shared" si="0"/>
        <v>14831.918881639467</v>
      </c>
      <c r="J5" s="304">
        <f t="shared" si="1"/>
        <v>74159.594408197328</v>
      </c>
      <c r="K5" s="187"/>
    </row>
    <row r="6" spans="1:13" ht="3.95" customHeight="1" x14ac:dyDescent="0.25">
      <c r="A6" s="196"/>
      <c r="B6" s="204"/>
      <c r="C6" s="197"/>
      <c r="D6" s="197"/>
      <c r="E6" s="197"/>
      <c r="F6" s="197"/>
      <c r="G6" s="197"/>
      <c r="H6" s="197"/>
      <c r="I6" s="198"/>
      <c r="J6" s="199"/>
    </row>
    <row r="7" spans="1:13" x14ac:dyDescent="0.25">
      <c r="A7" s="200"/>
      <c r="B7" s="205"/>
      <c r="C7" s="201" t="s">
        <v>497</v>
      </c>
      <c r="D7" s="201"/>
      <c r="E7" s="201"/>
      <c r="F7" s="201"/>
      <c r="G7" s="201"/>
      <c r="H7" s="201"/>
      <c r="I7" s="305">
        <f>SUM(I3:I6)</f>
        <v>667555.80649777909</v>
      </c>
      <c r="J7" s="202">
        <f>SUM(J3:J6)</f>
        <v>3337779.0324888956</v>
      </c>
    </row>
    <row r="8" spans="1:13" x14ac:dyDescent="0.25">
      <c r="I8" s="188"/>
    </row>
    <row r="10" spans="1:13" x14ac:dyDescent="0.25">
      <c r="F10" s="187"/>
    </row>
    <row r="12" spans="1:13" x14ac:dyDescent="0.25">
      <c r="M12" t="s">
        <v>467</v>
      </c>
    </row>
    <row r="13" spans="1:13" x14ac:dyDescent="0.25">
      <c r="M13" t="s">
        <v>468</v>
      </c>
    </row>
    <row r="14" spans="1:13" x14ac:dyDescent="0.25">
      <c r="M14" t="s">
        <v>469</v>
      </c>
    </row>
  </sheetData>
  <mergeCells count="1">
    <mergeCell ref="A3:A5"/>
  </mergeCells>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EE1E0-0709-454B-8C21-9CD6BC65EFEF}">
  <dimension ref="A1:L17"/>
  <sheetViews>
    <sheetView topLeftCell="A9" workbookViewId="0">
      <selection activeCell="L3" sqref="L3"/>
    </sheetView>
  </sheetViews>
  <sheetFormatPr defaultColWidth="8.7109375" defaultRowHeight="12" x14ac:dyDescent="0.2"/>
  <cols>
    <col min="1" max="1" width="5.140625" style="108" bestFit="1" customWidth="1"/>
    <col min="2" max="2" width="4.140625" style="108" bestFit="1" customWidth="1"/>
    <col min="3" max="3" width="20.7109375" style="144" customWidth="1"/>
    <col min="4" max="4" width="5.140625" style="108" bestFit="1" customWidth="1"/>
    <col min="5" max="5" width="4.140625" style="108" bestFit="1" customWidth="1"/>
    <col min="6" max="6" width="6.5703125" style="108" bestFit="1" customWidth="1"/>
    <col min="7" max="7" width="7.5703125" style="108" customWidth="1"/>
    <col min="8" max="8" width="6.42578125" style="108" bestFit="1" customWidth="1"/>
    <col min="9" max="9" width="9.42578125" style="108" bestFit="1" customWidth="1"/>
    <col min="10" max="10" width="10.5703125" style="108" bestFit="1" customWidth="1"/>
    <col min="11" max="11" width="8.7109375" style="106"/>
    <col min="12" max="12" width="12.5703125" style="106" bestFit="1" customWidth="1"/>
    <col min="13" max="16384" width="8.7109375" style="106"/>
  </cols>
  <sheetData>
    <row r="1" spans="1:12" ht="36" x14ac:dyDescent="0.2">
      <c r="A1" s="111" t="s">
        <v>439</v>
      </c>
      <c r="B1" s="111" t="s">
        <v>234</v>
      </c>
      <c r="C1" s="115" t="s">
        <v>440</v>
      </c>
      <c r="D1" s="111" t="s">
        <v>441</v>
      </c>
      <c r="E1" s="111" t="s">
        <v>442</v>
      </c>
      <c r="F1" s="115" t="s">
        <v>443</v>
      </c>
      <c r="G1" s="115" t="s">
        <v>444</v>
      </c>
      <c r="H1" s="115" t="s">
        <v>457</v>
      </c>
      <c r="I1" s="115" t="s">
        <v>458</v>
      </c>
      <c r="J1" s="115" t="s">
        <v>459</v>
      </c>
    </row>
    <row r="2" spans="1:12" ht="60" hidden="1" x14ac:dyDescent="0.2">
      <c r="A2" s="109">
        <v>1</v>
      </c>
      <c r="B2" s="109">
        <v>1</v>
      </c>
      <c r="C2" s="110" t="s">
        <v>445</v>
      </c>
      <c r="D2" s="109">
        <v>24031</v>
      </c>
      <c r="E2" s="109" t="s">
        <v>462</v>
      </c>
      <c r="F2" s="140">
        <f>'Novo Simulador'!C4*12</f>
        <v>0</v>
      </c>
      <c r="G2" s="140">
        <f t="shared" ref="G2:G15" si="0">F2*5</f>
        <v>0</v>
      </c>
      <c r="H2" s="141">
        <f>'Novo Simulador'!D4</f>
        <v>4.7373498687761089</v>
      </c>
      <c r="I2" s="142">
        <f>F2*H2</f>
        <v>0</v>
      </c>
      <c r="J2" s="142">
        <f>I2*5</f>
        <v>0</v>
      </c>
    </row>
    <row r="3" spans="1:12" ht="60" x14ac:dyDescent="0.2">
      <c r="A3" s="109">
        <v>1</v>
      </c>
      <c r="B3" s="109">
        <v>1</v>
      </c>
      <c r="C3" s="110" t="s">
        <v>456</v>
      </c>
      <c r="D3" s="109">
        <v>24031</v>
      </c>
      <c r="E3" s="109" t="s">
        <v>462</v>
      </c>
      <c r="F3" s="140">
        <f>'Novo Simulador'!C5*12</f>
        <v>61200</v>
      </c>
      <c r="G3" s="140">
        <f t="shared" si="0"/>
        <v>306000</v>
      </c>
      <c r="H3" s="141">
        <f>'Novo Simulador'!D5</f>
        <v>4.7373498687761089</v>
      </c>
      <c r="I3" s="142">
        <f>F3*H3</f>
        <v>289925.81196909788</v>
      </c>
      <c r="J3" s="142">
        <f t="shared" ref="J3:J15" si="1">I3*5</f>
        <v>1449629.0598454894</v>
      </c>
      <c r="L3" s="143"/>
    </row>
    <row r="4" spans="1:12" ht="60" x14ac:dyDescent="0.2">
      <c r="A4" s="109">
        <v>1</v>
      </c>
      <c r="B4" s="109">
        <v>2</v>
      </c>
      <c r="C4" s="110" t="s">
        <v>446</v>
      </c>
      <c r="D4" s="109">
        <v>24031</v>
      </c>
      <c r="E4" s="109" t="s">
        <v>462</v>
      </c>
      <c r="F4" s="140">
        <f>'Novo Simulador'!C6*12</f>
        <v>1440</v>
      </c>
      <c r="G4" s="140">
        <f t="shared" si="0"/>
        <v>7200</v>
      </c>
      <c r="H4" s="141">
        <f>'Novo Simulador'!D6</f>
        <v>12.632932983402956</v>
      </c>
      <c r="I4" s="142">
        <f t="shared" ref="I4:I14" si="2">F4*H4</f>
        <v>18191.423496100255</v>
      </c>
      <c r="J4" s="142">
        <f t="shared" si="1"/>
        <v>90957.117480501271</v>
      </c>
      <c r="L4" s="143"/>
    </row>
    <row r="5" spans="1:12" ht="72" x14ac:dyDescent="0.2">
      <c r="A5" s="109">
        <v>1</v>
      </c>
      <c r="B5" s="109">
        <v>3</v>
      </c>
      <c r="C5" s="110" t="s">
        <v>447</v>
      </c>
      <c r="D5" s="109">
        <v>24031</v>
      </c>
      <c r="E5" s="109" t="s">
        <v>462</v>
      </c>
      <c r="F5" s="140">
        <f>'Novo Simulador'!C7*12</f>
        <v>1380</v>
      </c>
      <c r="G5" s="140">
        <f t="shared" si="0"/>
        <v>6900</v>
      </c>
      <c r="H5" s="141">
        <f>'Novo Simulador'!D7</f>
        <v>2.273927937012532</v>
      </c>
      <c r="I5" s="142">
        <f t="shared" si="2"/>
        <v>3138.0205530772942</v>
      </c>
      <c r="J5" s="142">
        <f t="shared" si="1"/>
        <v>15690.102765386471</v>
      </c>
      <c r="L5" s="143"/>
    </row>
    <row r="6" spans="1:12" hidden="1" x14ac:dyDescent="0.2">
      <c r="A6" s="109"/>
      <c r="B6" s="109"/>
      <c r="C6" s="110" t="s">
        <v>460</v>
      </c>
      <c r="D6" s="109"/>
      <c r="E6" s="109"/>
      <c r="F6" s="140">
        <f>'Novo Simulador'!C8*12</f>
        <v>0</v>
      </c>
      <c r="G6" s="140">
        <f t="shared" si="0"/>
        <v>0</v>
      </c>
      <c r="H6" s="141">
        <f>'Novo Simulador'!D8</f>
        <v>3.1582332458507389</v>
      </c>
      <c r="I6" s="142">
        <f t="shared" si="2"/>
        <v>0</v>
      </c>
      <c r="J6" s="142">
        <f t="shared" si="1"/>
        <v>0</v>
      </c>
      <c r="L6" s="143"/>
    </row>
    <row r="7" spans="1:12" ht="72" x14ac:dyDescent="0.2">
      <c r="A7" s="109">
        <v>1</v>
      </c>
      <c r="B7" s="109">
        <v>4</v>
      </c>
      <c r="C7" s="110" t="s">
        <v>448</v>
      </c>
      <c r="D7" s="109">
        <v>24031</v>
      </c>
      <c r="E7" s="109" t="s">
        <v>462</v>
      </c>
      <c r="F7" s="140">
        <f>'Novo Simulador'!C9*12</f>
        <v>8400</v>
      </c>
      <c r="G7" s="140">
        <f t="shared" si="0"/>
        <v>42000</v>
      </c>
      <c r="H7" s="141">
        <f>'Novo Simulador'!D9</f>
        <v>3.7898798950208867</v>
      </c>
      <c r="I7" s="142">
        <f t="shared" si="2"/>
        <v>31834.991118175447</v>
      </c>
      <c r="J7" s="142">
        <f t="shared" si="1"/>
        <v>159174.95559087725</v>
      </c>
      <c r="L7" s="143"/>
    </row>
    <row r="8" spans="1:12" ht="60" x14ac:dyDescent="0.2">
      <c r="A8" s="109">
        <v>1</v>
      </c>
      <c r="B8" s="109">
        <v>5</v>
      </c>
      <c r="C8" s="110" t="s">
        <v>449</v>
      </c>
      <c r="D8" s="109">
        <v>24031</v>
      </c>
      <c r="E8" s="109" t="s">
        <v>462</v>
      </c>
      <c r="F8" s="140">
        <f>'Novo Simulador'!C10*12</f>
        <v>4800</v>
      </c>
      <c r="G8" s="140">
        <f t="shared" si="0"/>
        <v>24000</v>
      </c>
      <c r="H8" s="141">
        <f>'Novo Simulador'!D10</f>
        <v>28.424099212656653</v>
      </c>
      <c r="I8" s="142">
        <f t="shared" si="2"/>
        <v>136435.67622075195</v>
      </c>
      <c r="J8" s="142">
        <f t="shared" si="1"/>
        <v>682178.38110375975</v>
      </c>
      <c r="L8" s="143"/>
    </row>
    <row r="9" spans="1:12" ht="84" x14ac:dyDescent="0.2">
      <c r="A9" s="109">
        <v>1</v>
      </c>
      <c r="B9" s="109">
        <v>6</v>
      </c>
      <c r="C9" s="110" t="s">
        <v>450</v>
      </c>
      <c r="D9" s="109">
        <v>24040</v>
      </c>
      <c r="E9" s="109" t="s">
        <v>462</v>
      </c>
      <c r="F9" s="140">
        <f>'Novo Simulador'!C11*12</f>
        <v>28800</v>
      </c>
      <c r="G9" s="140">
        <f t="shared" si="0"/>
        <v>144000</v>
      </c>
      <c r="H9" s="141">
        <f>'Novo Simulador'!D11</f>
        <v>2.1054888305671593</v>
      </c>
      <c r="I9" s="142">
        <f t="shared" si="2"/>
        <v>60638.078320334185</v>
      </c>
      <c r="J9" s="142">
        <f t="shared" si="1"/>
        <v>303190.39160167094</v>
      </c>
      <c r="L9" s="143"/>
    </row>
    <row r="10" spans="1:12" ht="72" x14ac:dyDescent="0.2">
      <c r="A10" s="109">
        <v>1</v>
      </c>
      <c r="B10" s="109">
        <v>7</v>
      </c>
      <c r="C10" s="110" t="s">
        <v>451</v>
      </c>
      <c r="D10" s="109">
        <v>24040</v>
      </c>
      <c r="E10" s="109" t="s">
        <v>462</v>
      </c>
      <c r="F10" s="140">
        <f>'Novo Simulador'!C12*12</f>
        <v>22800</v>
      </c>
      <c r="G10" s="140">
        <f t="shared" si="0"/>
        <v>114000</v>
      </c>
      <c r="H10" s="141">
        <f>'Novo Simulador'!D12</f>
        <v>0.63164664917014779</v>
      </c>
      <c r="I10" s="142">
        <f t="shared" si="2"/>
        <v>14401.543601079369</v>
      </c>
      <c r="J10" s="142">
        <f t="shared" si="1"/>
        <v>72007.718005396848</v>
      </c>
      <c r="L10" s="143"/>
    </row>
    <row r="11" spans="1:12" ht="60" x14ac:dyDescent="0.2">
      <c r="A11" s="109">
        <v>1</v>
      </c>
      <c r="B11" s="109">
        <v>8</v>
      </c>
      <c r="C11" s="110" t="s">
        <v>452</v>
      </c>
      <c r="D11" s="109">
        <v>24040</v>
      </c>
      <c r="E11" s="109" t="s">
        <v>462</v>
      </c>
      <c r="F11" s="140">
        <f>'Novo Simulador'!C13*12</f>
        <v>22860</v>
      </c>
      <c r="G11" s="140">
        <f t="shared" si="0"/>
        <v>114300</v>
      </c>
      <c r="H11" s="141">
        <f>'Novo Simulador'!D13</f>
        <v>2.1054888305671593</v>
      </c>
      <c r="I11" s="142">
        <f t="shared" si="2"/>
        <v>48131.474666765258</v>
      </c>
      <c r="J11" s="142">
        <f t="shared" si="1"/>
        <v>240657.37333382628</v>
      </c>
      <c r="L11" s="143"/>
    </row>
    <row r="12" spans="1:12" hidden="1" x14ac:dyDescent="0.2">
      <c r="A12" s="109"/>
      <c r="B12" s="109"/>
      <c r="C12" s="110" t="s">
        <v>461</v>
      </c>
      <c r="D12" s="109"/>
      <c r="E12" s="109"/>
      <c r="F12" s="140">
        <f>'Novo Simulador'!C14*12</f>
        <v>0</v>
      </c>
      <c r="G12" s="140">
        <f t="shared" si="0"/>
        <v>0</v>
      </c>
      <c r="H12" s="141">
        <f>'Novo Simulador'!D14</f>
        <v>3.011665523697463</v>
      </c>
      <c r="I12" s="142">
        <f t="shared" si="2"/>
        <v>0</v>
      </c>
      <c r="J12" s="142">
        <f t="shared" si="1"/>
        <v>0</v>
      </c>
      <c r="L12" s="143"/>
    </row>
    <row r="13" spans="1:12" ht="96" x14ac:dyDescent="0.2">
      <c r="A13" s="109">
        <v>1</v>
      </c>
      <c r="B13" s="109">
        <v>9</v>
      </c>
      <c r="C13" s="110" t="s">
        <v>455</v>
      </c>
      <c r="D13" s="109">
        <v>24112</v>
      </c>
      <c r="E13" s="109" t="s">
        <v>462</v>
      </c>
      <c r="F13" s="140">
        <f>'Novo Simulador'!C15*12</f>
        <v>5400</v>
      </c>
      <c r="G13" s="140">
        <f t="shared" si="0"/>
        <v>27000</v>
      </c>
      <c r="H13" s="141">
        <f>'Novo Simulador'!D15</f>
        <v>1.2680696941884053</v>
      </c>
      <c r="I13" s="142">
        <f t="shared" si="2"/>
        <v>6847.5763486173892</v>
      </c>
      <c r="J13" s="142">
        <f t="shared" si="1"/>
        <v>34237.881743086946</v>
      </c>
      <c r="L13" s="143"/>
    </row>
    <row r="14" spans="1:12" ht="72" x14ac:dyDescent="0.2">
      <c r="A14" s="109">
        <v>1</v>
      </c>
      <c r="B14" s="109">
        <v>10</v>
      </c>
      <c r="C14" s="110" t="s">
        <v>453</v>
      </c>
      <c r="D14" s="109">
        <v>24112</v>
      </c>
      <c r="E14" s="109" t="s">
        <v>462</v>
      </c>
      <c r="F14" s="140">
        <f>'Novo Simulador'!C16*12</f>
        <v>5400</v>
      </c>
      <c r="G14" s="140">
        <f t="shared" si="0"/>
        <v>27000</v>
      </c>
      <c r="H14" s="141">
        <f>'Novo Simulador'!D16</f>
        <v>1.2680696941884053</v>
      </c>
      <c r="I14" s="142">
        <f t="shared" si="2"/>
        <v>6847.5763486173892</v>
      </c>
      <c r="J14" s="142">
        <f t="shared" si="1"/>
        <v>34237.881743086946</v>
      </c>
      <c r="L14" s="143"/>
    </row>
    <row r="15" spans="1:12" ht="96" hidden="1" x14ac:dyDescent="0.2">
      <c r="A15" s="109">
        <v>1</v>
      </c>
      <c r="B15" s="109">
        <v>12</v>
      </c>
      <c r="C15" s="110" t="s">
        <v>454</v>
      </c>
      <c r="D15" s="109">
        <v>24074</v>
      </c>
      <c r="E15" s="109" t="s">
        <v>462</v>
      </c>
      <c r="F15" s="140">
        <v>0</v>
      </c>
      <c r="G15" s="140">
        <f t="shared" si="0"/>
        <v>0</v>
      </c>
      <c r="H15" s="141">
        <v>0</v>
      </c>
      <c r="I15" s="142">
        <f t="shared" ref="I15" si="3">F15*H15</f>
        <v>0</v>
      </c>
      <c r="J15" s="142">
        <f t="shared" si="1"/>
        <v>0</v>
      </c>
    </row>
    <row r="16" spans="1:12" x14ac:dyDescent="0.2">
      <c r="H16" s="147" t="s">
        <v>94</v>
      </c>
      <c r="I16" s="148">
        <f>SUM(I1:I15)</f>
        <v>616392.17264261656</v>
      </c>
      <c r="J16" s="149">
        <f>SUM(J1:J15)</f>
        <v>3081960.8632130823</v>
      </c>
    </row>
    <row r="17" spans="9:10" x14ac:dyDescent="0.2">
      <c r="I17" s="146"/>
      <c r="J17" s="145"/>
    </row>
  </sheetData>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pageSetUpPr fitToPage="1"/>
  </sheetPr>
  <dimension ref="A1:M77"/>
  <sheetViews>
    <sheetView topLeftCell="C38" zoomScaleNormal="100" zoomScaleSheetLayoutView="85" workbookViewId="0">
      <selection activeCell="I46" sqref="I46"/>
    </sheetView>
  </sheetViews>
  <sheetFormatPr defaultColWidth="9.140625" defaultRowHeight="15" x14ac:dyDescent="0.25"/>
  <cols>
    <col min="1" max="1" width="67" style="1" customWidth="1"/>
    <col min="2" max="2" width="15.7109375" style="1" hidden="1" customWidth="1"/>
    <col min="3" max="3" width="15.7109375" style="5" customWidth="1"/>
    <col min="4" max="4" width="15.7109375" style="2" customWidth="1"/>
    <col min="5" max="5" width="4.85546875" customWidth="1"/>
    <col min="6" max="6" width="44.28515625" customWidth="1"/>
    <col min="7" max="7" width="16.42578125" customWidth="1"/>
    <col min="8" max="8" width="30.5703125" customWidth="1"/>
    <col min="9" max="9" width="15.140625" bestFit="1" customWidth="1"/>
    <col min="11" max="11" width="13.28515625" bestFit="1" customWidth="1"/>
  </cols>
  <sheetData>
    <row r="1" spans="1:13" ht="17.100000000000001" customHeight="1" x14ac:dyDescent="0.25">
      <c r="A1" s="313" t="s">
        <v>195</v>
      </c>
      <c r="B1" s="313"/>
      <c r="C1" s="313"/>
      <c r="D1" s="313"/>
      <c r="E1" s="79"/>
      <c r="F1" s="103"/>
      <c r="G1" s="104"/>
      <c r="H1" s="79"/>
      <c r="I1" s="79"/>
    </row>
    <row r="2" spans="1:13" x14ac:dyDescent="0.25">
      <c r="A2" s="313"/>
      <c r="B2" s="313"/>
      <c r="C2" s="313"/>
      <c r="D2" s="313"/>
      <c r="E2" s="79"/>
      <c r="F2" s="176"/>
      <c r="G2" s="177" t="s">
        <v>346</v>
      </c>
      <c r="H2" s="178" t="s">
        <v>79</v>
      </c>
      <c r="I2" s="216"/>
      <c r="J2" s="217"/>
      <c r="K2" s="217"/>
      <c r="L2" s="217"/>
      <c r="M2" s="217"/>
    </row>
    <row r="3" spans="1:13" ht="14.45" customHeight="1" x14ac:dyDescent="0.25">
      <c r="A3" s="118" t="s">
        <v>181</v>
      </c>
      <c r="B3" s="137" t="s">
        <v>66</v>
      </c>
      <c r="C3" s="139" t="s">
        <v>193</v>
      </c>
      <c r="D3" s="3" t="s">
        <v>35</v>
      </c>
      <c r="E3" s="79"/>
      <c r="F3" s="307" t="s">
        <v>194</v>
      </c>
      <c r="G3" s="308"/>
      <c r="H3" s="309"/>
      <c r="I3" s="216" t="s">
        <v>478</v>
      </c>
      <c r="J3" s="217"/>
      <c r="K3" s="218"/>
      <c r="L3" s="217" t="s">
        <v>479</v>
      </c>
      <c r="M3" s="217"/>
    </row>
    <row r="4" spans="1:13" x14ac:dyDescent="0.25">
      <c r="A4" s="119" t="s">
        <v>159</v>
      </c>
      <c r="B4" s="138">
        <v>0</v>
      </c>
      <c r="C4" s="20">
        <v>0</v>
      </c>
      <c r="D4" s="135">
        <f>(((1/C23)*$H$4))</f>
        <v>4.7373498687761089</v>
      </c>
      <c r="E4" s="79"/>
      <c r="F4" s="179" t="s">
        <v>36</v>
      </c>
      <c r="G4" s="71">
        <f>ROUNDDOWN(D38-G5,0)</f>
        <v>7</v>
      </c>
      <c r="H4" s="170">
        <f>ASG!C144</f>
        <v>5684.8198425313303</v>
      </c>
      <c r="I4" s="219">
        <f>D38-G5</f>
        <v>7.0356450705063143</v>
      </c>
      <c r="J4" s="217"/>
      <c r="K4" s="220">
        <f>H4*7</f>
        <v>39793.738897719311</v>
      </c>
      <c r="L4" s="217">
        <v>7</v>
      </c>
      <c r="M4" s="217"/>
    </row>
    <row r="5" spans="1:13" x14ac:dyDescent="0.25">
      <c r="A5" s="119" t="s">
        <v>160</v>
      </c>
      <c r="B5" s="138">
        <v>6400</v>
      </c>
      <c r="C5" s="20">
        <v>5100</v>
      </c>
      <c r="D5" s="135">
        <f>(((1/C24)*$H$4))</f>
        <v>4.7373498687761089</v>
      </c>
      <c r="E5" s="79"/>
      <c r="F5" s="179" t="s">
        <v>53</v>
      </c>
      <c r="G5" s="71">
        <f>ROUNDUP(D29,0)</f>
        <v>2</v>
      </c>
      <c r="H5" s="170">
        <f>'ASG-INSAL'!C144</f>
        <v>6561.5744324350244</v>
      </c>
      <c r="I5" s="219">
        <f>D29</f>
        <v>2</v>
      </c>
      <c r="J5" s="217"/>
      <c r="K5" s="220">
        <f>H5*2</f>
        <v>13123.148864870049</v>
      </c>
      <c r="L5" s="217">
        <v>2</v>
      </c>
      <c r="M5" s="217"/>
    </row>
    <row r="6" spans="1:13" x14ac:dyDescent="0.25">
      <c r="A6" s="120" t="s">
        <v>161</v>
      </c>
      <c r="B6" s="138">
        <v>300</v>
      </c>
      <c r="C6" s="20">
        <v>120</v>
      </c>
      <c r="D6" s="136">
        <f>(((1/C25)*$H$4))</f>
        <v>12.632932983402956</v>
      </c>
      <c r="E6" s="79"/>
      <c r="F6" s="179" t="s">
        <v>37</v>
      </c>
      <c r="G6" s="71">
        <f>ROUNDUP(D76,0)</f>
        <v>1</v>
      </c>
      <c r="H6" s="170">
        <f>Encarregado!C144</f>
        <v>4263.6361545968875</v>
      </c>
      <c r="I6" s="216"/>
      <c r="J6" s="217"/>
      <c r="K6" s="220">
        <f>H6</f>
        <v>4263.6361545968875</v>
      </c>
      <c r="L6" s="217">
        <v>1</v>
      </c>
      <c r="M6" s="217"/>
    </row>
    <row r="7" spans="1:13" x14ac:dyDescent="0.25">
      <c r="A7" s="120" t="s">
        <v>162</v>
      </c>
      <c r="B7" s="138">
        <v>100</v>
      </c>
      <c r="C7" s="20">
        <v>115</v>
      </c>
      <c r="D7" s="136">
        <f t="shared" ref="D7:D12" si="0">(((1/C26)*$H$4))</f>
        <v>2.273927937012532</v>
      </c>
      <c r="E7" s="79"/>
      <c r="F7" s="180" t="s">
        <v>185</v>
      </c>
      <c r="G7" s="181">
        <f>C59</f>
        <v>0</v>
      </c>
      <c r="H7" s="173">
        <v>0</v>
      </c>
      <c r="I7" s="216"/>
      <c r="J7" s="217"/>
      <c r="K7" s="221">
        <f>SUM(K4:K6)</f>
        <v>57180.523917186249</v>
      </c>
      <c r="L7" s="217"/>
      <c r="M7" s="217"/>
    </row>
    <row r="8" spans="1:13" x14ac:dyDescent="0.25">
      <c r="A8" s="120" t="s">
        <v>163</v>
      </c>
      <c r="B8" s="138">
        <v>0</v>
      </c>
      <c r="C8" s="20">
        <v>0</v>
      </c>
      <c r="D8" s="136">
        <f t="shared" si="0"/>
        <v>3.1582332458507389</v>
      </c>
      <c r="E8" s="79"/>
      <c r="F8" s="80"/>
      <c r="G8" s="105"/>
      <c r="H8" s="81"/>
      <c r="I8" s="216"/>
      <c r="J8" s="217"/>
      <c r="K8" s="217"/>
      <c r="L8" s="217"/>
      <c r="M8" s="217"/>
    </row>
    <row r="9" spans="1:13" x14ac:dyDescent="0.25">
      <c r="A9" s="120" t="s">
        <v>164</v>
      </c>
      <c r="B9" s="138">
        <v>876</v>
      </c>
      <c r="C9" s="20">
        <v>700</v>
      </c>
      <c r="D9" s="136">
        <f t="shared" si="0"/>
        <v>3.7898798950208867</v>
      </c>
      <c r="H9" s="78" t="s">
        <v>79</v>
      </c>
      <c r="I9" s="217"/>
      <c r="J9" s="217"/>
      <c r="K9" s="217"/>
      <c r="L9" s="217"/>
      <c r="M9" s="217"/>
    </row>
    <row r="10" spans="1:13" x14ac:dyDescent="0.25">
      <c r="A10" s="120" t="s">
        <v>410</v>
      </c>
      <c r="B10" s="138">
        <v>455</v>
      </c>
      <c r="C10" s="20">
        <v>400</v>
      </c>
      <c r="D10" s="136">
        <f t="shared" si="0"/>
        <v>28.424099212656653</v>
      </c>
      <c r="F10" s="310" t="s">
        <v>182</v>
      </c>
      <c r="G10" s="311"/>
      <c r="H10" s="312"/>
      <c r="I10" s="217"/>
      <c r="J10" s="217"/>
      <c r="K10" s="217"/>
      <c r="L10" s="217"/>
      <c r="M10" s="217"/>
    </row>
    <row r="11" spans="1:13" ht="15" customHeight="1" x14ac:dyDescent="0.25">
      <c r="A11" s="120" t="s">
        <v>189</v>
      </c>
      <c r="B11" s="138">
        <v>4586</v>
      </c>
      <c r="C11" s="102">
        <v>2400</v>
      </c>
      <c r="D11" s="136">
        <f t="shared" si="0"/>
        <v>2.1054888305671593</v>
      </c>
      <c r="F11" s="169" t="s">
        <v>41</v>
      </c>
      <c r="G11" s="6"/>
      <c r="H11" s="170">
        <f>C4*D4</f>
        <v>0</v>
      </c>
      <c r="I11" s="217"/>
      <c r="J11" s="217"/>
      <c r="K11" s="217"/>
      <c r="L11" s="217"/>
      <c r="M11" s="217"/>
    </row>
    <row r="12" spans="1:13" x14ac:dyDescent="0.25">
      <c r="A12" s="120" t="s">
        <v>166</v>
      </c>
      <c r="B12" s="138">
        <v>1408</v>
      </c>
      <c r="C12" s="102">
        <v>1900</v>
      </c>
      <c r="D12" s="136">
        <f t="shared" si="0"/>
        <v>0.63164664917014779</v>
      </c>
      <c r="F12" s="169" t="s">
        <v>42</v>
      </c>
      <c r="G12" s="6"/>
      <c r="H12" s="170">
        <f t="shared" ref="H12:H25" si="1">C5*D5</f>
        <v>24160.484330758154</v>
      </c>
      <c r="I12" s="217"/>
      <c r="J12" s="217"/>
      <c r="K12" s="217"/>
      <c r="L12" s="217"/>
      <c r="M12" s="217"/>
    </row>
    <row r="13" spans="1:13" x14ac:dyDescent="0.25">
      <c r="A13" s="120" t="s">
        <v>15</v>
      </c>
      <c r="B13" s="138">
        <v>2055</v>
      </c>
      <c r="C13" s="102">
        <v>1905</v>
      </c>
      <c r="D13" s="136">
        <f>(((1/C32)*$H$4))</f>
        <v>2.1054888305671593</v>
      </c>
      <c r="F13" s="169" t="s">
        <v>55</v>
      </c>
      <c r="G13" s="6"/>
      <c r="H13" s="170">
        <f t="shared" si="1"/>
        <v>1515.9519580083547</v>
      </c>
      <c r="I13" s="217"/>
      <c r="J13" s="217"/>
      <c r="K13" s="217"/>
      <c r="L13" s="217"/>
      <c r="M13" s="217"/>
    </row>
    <row r="14" spans="1:13" x14ac:dyDescent="0.25">
      <c r="A14" s="120" t="s">
        <v>186</v>
      </c>
      <c r="B14" s="138">
        <v>0</v>
      </c>
      <c r="C14" s="203">
        <v>0</v>
      </c>
      <c r="D14" s="136">
        <f>(((1/C33)*16*(1/188.76))*$H$4)</f>
        <v>3.011665523697463</v>
      </c>
      <c r="F14" s="169" t="s">
        <v>43</v>
      </c>
      <c r="G14" s="6"/>
      <c r="H14" s="170">
        <f t="shared" si="1"/>
        <v>261.50171275644118</v>
      </c>
    </row>
    <row r="15" spans="1:13" x14ac:dyDescent="0.25">
      <c r="A15" s="120" t="s">
        <v>187</v>
      </c>
      <c r="B15" s="138">
        <v>698</v>
      </c>
      <c r="C15" s="203">
        <v>450</v>
      </c>
      <c r="D15" s="136">
        <f>(((1/C34)*16*(1/188.76))*$H$4)</f>
        <v>1.2680696941884053</v>
      </c>
      <c r="F15" s="169" t="s">
        <v>44</v>
      </c>
      <c r="H15" s="170">
        <f t="shared" si="1"/>
        <v>0</v>
      </c>
    </row>
    <row r="16" spans="1:13" x14ac:dyDescent="0.25">
      <c r="A16" s="120" t="s">
        <v>188</v>
      </c>
      <c r="B16" s="138">
        <v>225</v>
      </c>
      <c r="C16" s="203">
        <v>450</v>
      </c>
      <c r="D16" s="136">
        <f>(((1/C35)*16*(1/188.76))*$H$4)</f>
        <v>1.2680696941884053</v>
      </c>
      <c r="F16" s="169" t="s">
        <v>45</v>
      </c>
      <c r="G16" s="6"/>
      <c r="H16" s="170">
        <f t="shared" si="1"/>
        <v>2652.9159265146209</v>
      </c>
    </row>
    <row r="17" spans="1:8" x14ac:dyDescent="0.25">
      <c r="A17" s="119" t="s">
        <v>169</v>
      </c>
      <c r="B17" s="138">
        <v>0</v>
      </c>
      <c r="C17" s="203">
        <v>0</v>
      </c>
      <c r="D17" s="135">
        <f>(((1/C36)*8*(1/1132.6))*$H$4)</f>
        <v>0.25096326339975855</v>
      </c>
      <c r="F17" s="169" t="s">
        <v>46</v>
      </c>
      <c r="G17" s="6"/>
      <c r="H17" s="170">
        <f t="shared" si="1"/>
        <v>11369.639685062661</v>
      </c>
    </row>
    <row r="18" spans="1:8" x14ac:dyDescent="0.25">
      <c r="A18" s="121" t="s">
        <v>172</v>
      </c>
      <c r="B18" s="138">
        <v>0</v>
      </c>
      <c r="C18" s="203">
        <v>0</v>
      </c>
      <c r="D18" s="135">
        <f>((1/C37)*$H$4)</f>
        <v>15.791166229253696</v>
      </c>
      <c r="F18" s="169" t="s">
        <v>47</v>
      </c>
      <c r="H18" s="170">
        <f>C11*D11</f>
        <v>5053.1731933611827</v>
      </c>
    </row>
    <row r="19" spans="1:8" ht="30" customHeight="1" thickBot="1" x14ac:dyDescent="0.3">
      <c r="A19" s="123" t="s">
        <v>179</v>
      </c>
      <c r="B19" s="124" t="s">
        <v>40</v>
      </c>
      <c r="C19" s="134" t="s">
        <v>438</v>
      </c>
      <c r="D19" s="3" t="s">
        <v>196</v>
      </c>
      <c r="F19" s="169" t="s">
        <v>48</v>
      </c>
      <c r="H19" s="170">
        <f t="shared" si="1"/>
        <v>1200.1286334232807</v>
      </c>
    </row>
    <row r="20" spans="1:8" ht="15.75" hidden="1" thickBot="1" x14ac:dyDescent="0.3">
      <c r="A20" s="125" t="s">
        <v>184</v>
      </c>
      <c r="C20" s="126">
        <v>4.5</v>
      </c>
      <c r="F20" s="169" t="s">
        <v>49</v>
      </c>
      <c r="H20" s="170">
        <f t="shared" si="1"/>
        <v>4010.9562222304385</v>
      </c>
    </row>
    <row r="21" spans="1:8" ht="15.75" hidden="1" thickBot="1" x14ac:dyDescent="0.3">
      <c r="A21" s="127" t="s">
        <v>175</v>
      </c>
      <c r="B21" s="128"/>
      <c r="C21" s="129">
        <f>C59</f>
        <v>0</v>
      </c>
      <c r="D21" s="62"/>
      <c r="F21" s="169" t="s">
        <v>50</v>
      </c>
      <c r="H21" s="170">
        <f t="shared" si="1"/>
        <v>0</v>
      </c>
    </row>
    <row r="22" spans="1:8" ht="15.75" hidden="1" thickBot="1" x14ac:dyDescent="0.3">
      <c r="A22" s="127" t="s">
        <v>6</v>
      </c>
      <c r="B22" s="128"/>
      <c r="C22" s="130">
        <f>C60</f>
        <v>1</v>
      </c>
      <c r="D22" s="63"/>
      <c r="F22" s="169" t="s">
        <v>51</v>
      </c>
      <c r="H22" s="170">
        <f>C15*D15</f>
        <v>570.63136238478239</v>
      </c>
    </row>
    <row r="23" spans="1:8" x14ac:dyDescent="0.25">
      <c r="A23" s="131" t="s">
        <v>20</v>
      </c>
      <c r="B23" s="60">
        <f>B4/C23</f>
        <v>0</v>
      </c>
      <c r="C23" s="206">
        <v>1200</v>
      </c>
      <c r="D23" s="61">
        <f>C4/C23</f>
        <v>0</v>
      </c>
      <c r="F23" s="169" t="s">
        <v>52</v>
      </c>
      <c r="H23" s="170">
        <f t="shared" si="1"/>
        <v>570.63136238478239</v>
      </c>
    </row>
    <row r="24" spans="1:8" x14ac:dyDescent="0.25">
      <c r="A24" s="131" t="s">
        <v>21</v>
      </c>
      <c r="B24" s="60">
        <f t="shared" ref="B24:B32" si="2">B5/C24</f>
        <v>5.333333333333333</v>
      </c>
      <c r="C24" s="207">
        <v>1200</v>
      </c>
      <c r="D24" s="61">
        <f>C5/C24</f>
        <v>4.25</v>
      </c>
      <c r="F24" s="169" t="s">
        <v>173</v>
      </c>
      <c r="H24" s="170">
        <f t="shared" si="1"/>
        <v>0</v>
      </c>
    </row>
    <row r="25" spans="1:8" x14ac:dyDescent="0.25">
      <c r="A25" s="131" t="s">
        <v>22</v>
      </c>
      <c r="B25" s="60">
        <f t="shared" si="2"/>
        <v>0.66666666666666663</v>
      </c>
      <c r="C25" s="207">
        <v>450</v>
      </c>
      <c r="D25" s="61">
        <f t="shared" ref="D25:D32" si="3">C6/C25</f>
        <v>0.26666666666666666</v>
      </c>
      <c r="F25" s="169" t="s">
        <v>174</v>
      </c>
      <c r="H25" s="170">
        <f t="shared" si="1"/>
        <v>0</v>
      </c>
    </row>
    <row r="26" spans="1:8" x14ac:dyDescent="0.25">
      <c r="A26" s="125" t="s">
        <v>23</v>
      </c>
      <c r="B26" s="116">
        <f t="shared" si="2"/>
        <v>0.04</v>
      </c>
      <c r="C26" s="208">
        <v>2500</v>
      </c>
      <c r="D26" s="117">
        <f t="shared" si="3"/>
        <v>4.5999999999999999E-2</v>
      </c>
      <c r="F26" s="174"/>
      <c r="G26" s="172"/>
      <c r="H26" s="175"/>
    </row>
    <row r="27" spans="1:8" x14ac:dyDescent="0.25">
      <c r="A27" s="125" t="s">
        <v>24</v>
      </c>
      <c r="B27" s="116">
        <f t="shared" si="2"/>
        <v>0</v>
      </c>
      <c r="C27" s="208">
        <v>1800</v>
      </c>
      <c r="D27" s="117">
        <f t="shared" si="3"/>
        <v>0</v>
      </c>
      <c r="F27" s="310" t="s">
        <v>183</v>
      </c>
      <c r="G27" s="311"/>
      <c r="H27" s="312"/>
    </row>
    <row r="28" spans="1:8" x14ac:dyDescent="0.25">
      <c r="A28" s="125" t="s">
        <v>25</v>
      </c>
      <c r="B28" s="116">
        <f t="shared" si="2"/>
        <v>0.58399999999999996</v>
      </c>
      <c r="C28" s="208">
        <v>1500</v>
      </c>
      <c r="D28" s="117">
        <f t="shared" si="3"/>
        <v>0.46666666666666667</v>
      </c>
      <c r="F28" s="169" t="s">
        <v>41</v>
      </c>
      <c r="G28" s="6"/>
      <c r="H28" s="170">
        <f t="shared" ref="H28:H42" si="4">IF($C$60=0,0,C42*D42)</f>
        <v>0</v>
      </c>
    </row>
    <row r="29" spans="1:8" x14ac:dyDescent="0.25">
      <c r="A29" s="125" t="s">
        <v>411</v>
      </c>
      <c r="B29" s="116">
        <f t="shared" si="2"/>
        <v>2.2749999999999999</v>
      </c>
      <c r="C29" s="208">
        <v>200</v>
      </c>
      <c r="D29" s="117">
        <f t="shared" si="3"/>
        <v>2</v>
      </c>
      <c r="F29" s="169" t="s">
        <v>42</v>
      </c>
      <c r="G29" s="6"/>
      <c r="H29" s="170">
        <f t="shared" si="4"/>
        <v>2005.4410632157985</v>
      </c>
    </row>
    <row r="30" spans="1:8" x14ac:dyDescent="0.25">
      <c r="A30" s="125" t="s">
        <v>27</v>
      </c>
      <c r="B30" s="116">
        <f t="shared" si="2"/>
        <v>1.6985185185185185</v>
      </c>
      <c r="C30" s="132">
        <v>2700</v>
      </c>
      <c r="D30" s="117">
        <f t="shared" si="3"/>
        <v>0.88888888888888884</v>
      </c>
      <c r="F30" s="169" t="s">
        <v>55</v>
      </c>
      <c r="G30" s="6"/>
      <c r="H30" s="170">
        <f t="shared" si="4"/>
        <v>125.83159612334423</v>
      </c>
    </row>
    <row r="31" spans="1:8" x14ac:dyDescent="0.25">
      <c r="A31" s="125" t="s">
        <v>28</v>
      </c>
      <c r="B31" s="116">
        <f t="shared" si="2"/>
        <v>0.15644444444444444</v>
      </c>
      <c r="C31" s="132">
        <v>9000</v>
      </c>
      <c r="D31" s="117">
        <f t="shared" si="3"/>
        <v>0.21111111111111111</v>
      </c>
      <c r="F31" s="169" t="s">
        <v>43</v>
      </c>
      <c r="G31" s="6"/>
      <c r="H31" s="170">
        <f t="shared" si="4"/>
        <v>21.705950331276881</v>
      </c>
    </row>
    <row r="32" spans="1:8" x14ac:dyDescent="0.25">
      <c r="A32" s="125" t="s">
        <v>29</v>
      </c>
      <c r="B32" s="116">
        <f t="shared" si="2"/>
        <v>0.76111111111111107</v>
      </c>
      <c r="C32" s="132">
        <v>2700</v>
      </c>
      <c r="D32" s="117">
        <f t="shared" si="3"/>
        <v>0.7055555555555556</v>
      </c>
      <c r="F32" s="169" t="s">
        <v>44</v>
      </c>
      <c r="H32" s="170">
        <f t="shared" si="4"/>
        <v>0</v>
      </c>
    </row>
    <row r="33" spans="1:9" x14ac:dyDescent="0.25">
      <c r="A33" s="125" t="s">
        <v>30</v>
      </c>
      <c r="B33" s="116">
        <f>(B14/C33)*16*(1/188.76)</f>
        <v>0</v>
      </c>
      <c r="C33" s="209">
        <v>160</v>
      </c>
      <c r="D33" s="117">
        <f>(C14/C33)*16*(1/188.76)</f>
        <v>0</v>
      </c>
      <c r="F33" s="169" t="s">
        <v>45</v>
      </c>
      <c r="G33" s="6"/>
      <c r="H33" s="170">
        <f t="shared" si="4"/>
        <v>220.20529321585241</v>
      </c>
    </row>
    <row r="34" spans="1:9" x14ac:dyDescent="0.25">
      <c r="A34" s="131" t="s">
        <v>31</v>
      </c>
      <c r="B34" s="60">
        <f>(B15/C34)*16*(1/188.76)</f>
        <v>0.15569757196551456</v>
      </c>
      <c r="C34" s="210">
        <v>380</v>
      </c>
      <c r="D34" s="61">
        <f>(C15/C34)*16*(1/188.76)</f>
        <v>0.10037809080871282</v>
      </c>
      <c r="F34" s="169" t="s">
        <v>46</v>
      </c>
      <c r="G34" s="6"/>
      <c r="H34" s="170">
        <f t="shared" si="4"/>
        <v>943.73697092508189</v>
      </c>
    </row>
    <row r="35" spans="1:9" x14ac:dyDescent="0.25">
      <c r="A35" s="131" t="s">
        <v>32</v>
      </c>
      <c r="B35" s="60">
        <f>(B16/C35)*16*(1/188.76)</f>
        <v>5.0189045404356411E-2</v>
      </c>
      <c r="C35" s="210">
        <v>380</v>
      </c>
      <c r="D35" s="61">
        <f>(C16/C35)*16*(1/188.76)</f>
        <v>0.10037809080871282</v>
      </c>
      <c r="F35" s="169" t="s">
        <v>47</v>
      </c>
      <c r="H35" s="170">
        <f t="shared" si="4"/>
        <v>419.43865374448075</v>
      </c>
    </row>
    <row r="36" spans="1:9" x14ac:dyDescent="0.25">
      <c r="A36" s="131" t="s">
        <v>170</v>
      </c>
      <c r="B36" s="60">
        <f>(B17/C36)*8*(1/1132.6)</f>
        <v>0</v>
      </c>
      <c r="C36" s="210">
        <v>160</v>
      </c>
      <c r="D36" s="61">
        <f>(C17/C36)*8*(1/1132.6)</f>
        <v>0</v>
      </c>
      <c r="F36" s="169" t="s">
        <v>48</v>
      </c>
      <c r="H36" s="170">
        <f t="shared" si="4"/>
        <v>99.616680264314184</v>
      </c>
    </row>
    <row r="37" spans="1:9" x14ac:dyDescent="0.25">
      <c r="A37" s="133" t="s">
        <v>171</v>
      </c>
      <c r="B37" s="60">
        <f t="shared" ref="B37" si="5">B18/C37</f>
        <v>0</v>
      </c>
      <c r="C37" s="210">
        <v>360</v>
      </c>
      <c r="D37" s="61">
        <f t="shared" ref="D37" si="6">C18/C37</f>
        <v>0</v>
      </c>
      <c r="E37" s="101"/>
      <c r="F37" s="169" t="s">
        <v>49</v>
      </c>
      <c r="H37" s="170">
        <f t="shared" si="4"/>
        <v>332.92943140968163</v>
      </c>
    </row>
    <row r="38" spans="1:9" x14ac:dyDescent="0.25">
      <c r="A38" s="1" t="s">
        <v>38</v>
      </c>
      <c r="B38" s="122">
        <f>SUM(B23:B37)</f>
        <v>11.720960691443945</v>
      </c>
      <c r="D38" s="100">
        <f>SUM(D23:D37)</f>
        <v>9.0356450705063143</v>
      </c>
      <c r="F38" s="169" t="s">
        <v>50</v>
      </c>
      <c r="H38" s="170">
        <f t="shared" si="4"/>
        <v>0</v>
      </c>
    </row>
    <row r="39" spans="1:9" x14ac:dyDescent="0.25">
      <c r="A39" s="65"/>
      <c r="B39" s="66"/>
      <c r="C39" s="67"/>
      <c r="D39" s="68"/>
      <c r="F39" s="169" t="s">
        <v>51</v>
      </c>
      <c r="H39" s="170">
        <f t="shared" si="4"/>
        <v>47.365257683528711</v>
      </c>
    </row>
    <row r="40" spans="1:9" x14ac:dyDescent="0.25">
      <c r="B40" s="48"/>
      <c r="D40" s="8"/>
      <c r="F40" s="169" t="s">
        <v>52</v>
      </c>
      <c r="H40" s="170">
        <f t="shared" si="4"/>
        <v>47.365257683528711</v>
      </c>
    </row>
    <row r="41" spans="1:9" x14ac:dyDescent="0.25">
      <c r="A41" s="4" t="s">
        <v>180</v>
      </c>
      <c r="B41" s="7" t="s">
        <v>66</v>
      </c>
      <c r="C41" s="16" t="s">
        <v>193</v>
      </c>
      <c r="D41" s="3" t="s">
        <v>35</v>
      </c>
      <c r="F41" s="169" t="s">
        <v>173</v>
      </c>
      <c r="H41" s="170">
        <f t="shared" si="4"/>
        <v>0</v>
      </c>
    </row>
    <row r="42" spans="1:9" x14ac:dyDescent="0.25">
      <c r="A42" s="1" t="s">
        <v>159</v>
      </c>
      <c r="B42" s="64">
        <f>B4</f>
        <v>0</v>
      </c>
      <c r="C42" s="212">
        <f>C4</f>
        <v>0</v>
      </c>
      <c r="D42" s="59">
        <f t="shared" ref="D42:D51" si="7">((1/($D$38*C61))*$H$6)</f>
        <v>0.39322373788545067</v>
      </c>
      <c r="F42" s="171" t="s">
        <v>174</v>
      </c>
      <c r="G42" s="172"/>
      <c r="H42" s="173">
        <f t="shared" si="4"/>
        <v>0</v>
      </c>
    </row>
    <row r="43" spans="1:9" x14ac:dyDescent="0.25">
      <c r="A43" s="1" t="s">
        <v>160</v>
      </c>
      <c r="B43" s="64">
        <f t="shared" ref="B43:C56" si="8">B5</f>
        <v>6400</v>
      </c>
      <c r="C43" s="212">
        <f t="shared" si="8"/>
        <v>5100</v>
      </c>
      <c r="D43" s="59">
        <f t="shared" si="7"/>
        <v>0.39322373788545067</v>
      </c>
      <c r="E43" s="79"/>
      <c r="F43" s="79"/>
      <c r="G43" s="79"/>
      <c r="H43" s="79"/>
      <c r="I43" s="79"/>
    </row>
    <row r="44" spans="1:9" x14ac:dyDescent="0.25">
      <c r="A44" s="1" t="s">
        <v>161</v>
      </c>
      <c r="B44" s="64">
        <f t="shared" si="8"/>
        <v>300</v>
      </c>
      <c r="C44" s="212">
        <f t="shared" si="8"/>
        <v>120</v>
      </c>
      <c r="D44" s="59">
        <f t="shared" si="7"/>
        <v>1.0485966343612019</v>
      </c>
      <c r="E44" s="79"/>
      <c r="F44" s="150" t="s">
        <v>57</v>
      </c>
      <c r="G44" s="151" t="s">
        <v>58</v>
      </c>
      <c r="H44" s="152" t="s">
        <v>59</v>
      </c>
      <c r="I44" s="79"/>
    </row>
    <row r="45" spans="1:9" x14ac:dyDescent="0.25">
      <c r="A45" s="1" t="s">
        <v>162</v>
      </c>
      <c r="B45" s="64">
        <f t="shared" si="8"/>
        <v>100</v>
      </c>
      <c r="C45" s="212">
        <f t="shared" si="8"/>
        <v>115</v>
      </c>
      <c r="D45" s="59">
        <f t="shared" si="7"/>
        <v>0.18874739418501635</v>
      </c>
      <c r="E45" s="79"/>
      <c r="F45" s="153" t="str">
        <f>"ÁREAS INTERNAS (R01 a R07): " &amp; TEXT(SUM(C4:C10),"#.##0,00") &amp; "M²"</f>
        <v>ÁREAS INTERNAS (R01 a R07): 6.435,00M²</v>
      </c>
      <c r="G45" s="154">
        <f>H45/(SUM(C4:C10))</f>
        <v>6.7253169365829972</v>
      </c>
      <c r="H45" s="155">
        <f>SUM(H11:H17)+SUM(H28:H34)</f>
        <v>43277.414486911584</v>
      </c>
      <c r="I45" s="79"/>
    </row>
    <row r="46" spans="1:9" x14ac:dyDescent="0.25">
      <c r="A46" s="1" t="s">
        <v>163</v>
      </c>
      <c r="B46" s="64">
        <f t="shared" si="8"/>
        <v>0</v>
      </c>
      <c r="C46" s="212">
        <f t="shared" si="8"/>
        <v>0</v>
      </c>
      <c r="D46" s="59">
        <f t="shared" si="7"/>
        <v>0.26214915859030047</v>
      </c>
      <c r="E46" s="79"/>
      <c r="F46" s="153" t="str">
        <f>"ÁREAS EXTERNAS (R08 a R10): " &amp; TEXT(SUM(C11:C13),"#.##0,00") &amp; "M²"</f>
        <v>ÁREAS EXTERNAS (R08 a R10): 6.205,00M²</v>
      </c>
      <c r="G46" s="154">
        <f>H46/(SUM(C11:C13))</f>
        <v>1.7914976332688763</v>
      </c>
      <c r="H46" s="155">
        <f>SUM(H18:H20)++SUM(H35:H37)</f>
        <v>11116.242814433377</v>
      </c>
      <c r="I46" s="79"/>
    </row>
    <row r="47" spans="1:9" x14ac:dyDescent="0.25">
      <c r="A47" s="1" t="s">
        <v>164</v>
      </c>
      <c r="B47" s="64">
        <f t="shared" si="8"/>
        <v>876</v>
      </c>
      <c r="C47" s="212">
        <f t="shared" si="8"/>
        <v>700</v>
      </c>
      <c r="D47" s="59">
        <f t="shared" si="7"/>
        <v>0.31457899030836056</v>
      </c>
      <c r="E47" s="79"/>
      <c r="F47" s="153" t="str">
        <f>"ESQUADRIAS (R11 a R13): " &amp; TEXT(SUM(C14:C16),"#.##0,00") &amp; "M²"</f>
        <v>ESQUADRIAS (R11 a R13): 900,00M²</v>
      </c>
      <c r="G47" s="154">
        <f>H47/SUM(C14:C16)</f>
        <v>1.3733258223740248</v>
      </c>
      <c r="H47" s="155">
        <f>SUM(H21:H23)+SUM(H38:H40)</f>
        <v>1235.9932401366223</v>
      </c>
      <c r="I47" s="79"/>
    </row>
    <row r="48" spans="1:9" x14ac:dyDescent="0.25">
      <c r="A48" s="1" t="s">
        <v>12</v>
      </c>
      <c r="B48" s="64">
        <f t="shared" si="8"/>
        <v>455</v>
      </c>
      <c r="C48" s="212">
        <f t="shared" si="8"/>
        <v>400</v>
      </c>
      <c r="D48" s="59">
        <f t="shared" si="7"/>
        <v>2.3593424273127046</v>
      </c>
      <c r="E48" s="79"/>
      <c r="F48" s="153" t="str">
        <f>"FACHADAS (R14 a R14): " &amp; TEXT(SUM(C17),"#.##0,00") &amp; "M²"</f>
        <v>FACHADAS (R14 a R14): 0,00M²</v>
      </c>
      <c r="G48" s="156">
        <f>IFERROR((H48/SUM(C17)),)</f>
        <v>0</v>
      </c>
      <c r="H48" s="155">
        <f>SUM(H24)++SUM(H41)</f>
        <v>0</v>
      </c>
      <c r="I48" s="79"/>
    </row>
    <row r="49" spans="1:9" ht="18.75" customHeight="1" x14ac:dyDescent="0.25">
      <c r="A49" s="1" t="s">
        <v>165</v>
      </c>
      <c r="B49" s="64">
        <f t="shared" si="8"/>
        <v>4586</v>
      </c>
      <c r="C49" s="70">
        <f t="shared" si="8"/>
        <v>2400</v>
      </c>
      <c r="D49" s="59">
        <f t="shared" si="7"/>
        <v>0.17476610572686699</v>
      </c>
      <c r="E49" s="79"/>
      <c r="F49" s="153" t="str">
        <f>"ÁREAS HOSPITALARES (R15 a R15): " &amp; TEXT(SUM(C18),"#.##0,00") &amp; "M²"</f>
        <v>ÁREAS HOSPITALARES (R15 a R15): 0,00M²</v>
      </c>
      <c r="G49" s="156">
        <f>IFERROR((H49/SUM(C18)),)</f>
        <v>0</v>
      </c>
      <c r="H49" s="155">
        <f>SUM(H25)+SUM(H42)</f>
        <v>0</v>
      </c>
      <c r="I49" s="79"/>
    </row>
    <row r="50" spans="1:9" x14ac:dyDescent="0.25">
      <c r="A50" s="1" t="s">
        <v>166</v>
      </c>
      <c r="B50" s="64">
        <f t="shared" si="8"/>
        <v>1408</v>
      </c>
      <c r="C50" s="70">
        <f t="shared" si="8"/>
        <v>1900</v>
      </c>
      <c r="D50" s="59">
        <f t="shared" si="7"/>
        <v>5.2429831718060094E-2</v>
      </c>
      <c r="E50" s="79"/>
      <c r="F50" s="157"/>
      <c r="G50" s="158"/>
      <c r="H50" s="159"/>
      <c r="I50" s="79"/>
    </row>
    <row r="51" spans="1:9" x14ac:dyDescent="0.25">
      <c r="A51" s="1" t="s">
        <v>15</v>
      </c>
      <c r="B51" s="64">
        <f t="shared" si="8"/>
        <v>2055</v>
      </c>
      <c r="C51" s="70">
        <f t="shared" si="8"/>
        <v>1905</v>
      </c>
      <c r="D51" s="59">
        <f t="shared" si="7"/>
        <v>0.17476610572686699</v>
      </c>
      <c r="E51" s="79"/>
      <c r="F51" s="160" t="s">
        <v>176</v>
      </c>
      <c r="G51" s="161"/>
      <c r="H51" s="155">
        <f>H7*G7</f>
        <v>0</v>
      </c>
      <c r="I51" s="79"/>
    </row>
    <row r="52" spans="1:9" x14ac:dyDescent="0.25">
      <c r="A52" s="1" t="s">
        <v>167</v>
      </c>
      <c r="B52" s="64">
        <f t="shared" si="8"/>
        <v>0</v>
      </c>
      <c r="C52" s="211">
        <f t="shared" si="8"/>
        <v>0</v>
      </c>
      <c r="D52" s="59">
        <f>(((1/($D$38*C71))*16*(1/188.76))*$H$6)</f>
        <v>0.24998330444084599</v>
      </c>
      <c r="E52" s="79"/>
      <c r="F52" s="162" t="s">
        <v>39</v>
      </c>
      <c r="G52" s="161"/>
      <c r="H52" s="222">
        <f>SUM(H45:H49)+H51</f>
        <v>55629.650541481584</v>
      </c>
      <c r="I52" s="79"/>
    </row>
    <row r="53" spans="1:9" x14ac:dyDescent="0.25">
      <c r="A53" s="1" t="s">
        <v>168</v>
      </c>
      <c r="B53" s="64">
        <f t="shared" si="8"/>
        <v>698</v>
      </c>
      <c r="C53" s="211">
        <f t="shared" si="8"/>
        <v>450</v>
      </c>
      <c r="D53" s="59">
        <f>(((1/($D$38*C72))*16*(1/188.76))*$H$6)</f>
        <v>0.10525612818561936</v>
      </c>
      <c r="E53" s="79"/>
      <c r="F53" s="163"/>
      <c r="G53" s="164"/>
      <c r="H53" s="165"/>
      <c r="I53" s="79"/>
    </row>
    <row r="54" spans="1:9" x14ac:dyDescent="0.25">
      <c r="A54" s="1" t="s">
        <v>19</v>
      </c>
      <c r="B54" s="64">
        <f t="shared" si="8"/>
        <v>225</v>
      </c>
      <c r="C54" s="211">
        <f t="shared" si="8"/>
        <v>450</v>
      </c>
      <c r="D54" s="59">
        <f>(((1/($D$38*C73))*16*(1/188.76))*$H$6)</f>
        <v>0.10525612818561936</v>
      </c>
      <c r="E54" s="79"/>
      <c r="F54" s="166" t="s">
        <v>177</v>
      </c>
      <c r="G54" s="167"/>
      <c r="H54" s="168">
        <f>(H52*12)+(H51*12)</f>
        <v>667555.80649777898</v>
      </c>
      <c r="I54" s="79"/>
    </row>
    <row r="55" spans="1:9" x14ac:dyDescent="0.25">
      <c r="A55" s="1" t="s">
        <v>169</v>
      </c>
      <c r="B55" s="64">
        <f t="shared" si="8"/>
        <v>0</v>
      </c>
      <c r="C55" s="211">
        <f t="shared" si="8"/>
        <v>0</v>
      </c>
      <c r="D55" s="59">
        <f>(((1/($D$38*C74))*16*(1/188.76))*$H$6)</f>
        <v>0.24998330444084599</v>
      </c>
      <c r="E55" s="79"/>
      <c r="F55" s="79"/>
      <c r="G55" s="79"/>
      <c r="H55" s="79"/>
      <c r="I55" s="79"/>
    </row>
    <row r="56" spans="1:9" x14ac:dyDescent="0.25">
      <c r="A56" s="1" t="s">
        <v>172</v>
      </c>
      <c r="B56" s="64">
        <f t="shared" si="8"/>
        <v>0</v>
      </c>
      <c r="C56" s="211">
        <f t="shared" si="8"/>
        <v>0</v>
      </c>
      <c r="D56" s="59">
        <f>((1/($D$38*C75))*$H$6)</f>
        <v>1.3107457929515023</v>
      </c>
    </row>
    <row r="57" spans="1:9" ht="30" x14ac:dyDescent="0.25">
      <c r="A57" s="4" t="s">
        <v>178</v>
      </c>
      <c r="B57" s="14" t="s">
        <v>40</v>
      </c>
      <c r="C57" s="134" t="s">
        <v>438</v>
      </c>
      <c r="D57" s="3" t="s">
        <v>196</v>
      </c>
    </row>
    <row r="58" spans="1:9" ht="15.75" thickBot="1" x14ac:dyDescent="0.3">
      <c r="A58" s="56" t="s">
        <v>184</v>
      </c>
      <c r="B58" s="56"/>
      <c r="C58" s="69">
        <f>C20</f>
        <v>4.5</v>
      </c>
      <c r="D58" s="57"/>
      <c r="F58" s="183"/>
      <c r="G58" s="184"/>
      <c r="H58" s="184"/>
    </row>
    <row r="59" spans="1:9" ht="15.75" hidden="1" thickBot="1" x14ac:dyDescent="0.3">
      <c r="A59" s="52" t="s">
        <v>175</v>
      </c>
      <c r="B59" s="52"/>
      <c r="C59" s="54">
        <v>0</v>
      </c>
      <c r="D59" s="53"/>
      <c r="F59" s="185"/>
      <c r="G59" s="182"/>
      <c r="H59" s="186"/>
    </row>
    <row r="60" spans="1:9" ht="15" hidden="1" customHeight="1" thickBot="1" x14ac:dyDescent="0.3">
      <c r="A60" s="52" t="s">
        <v>6</v>
      </c>
      <c r="B60" s="52"/>
      <c r="C60" s="54">
        <v>1</v>
      </c>
      <c r="D60" s="58"/>
    </row>
    <row r="61" spans="1:9" x14ac:dyDescent="0.25">
      <c r="A61" s="1" t="s">
        <v>20</v>
      </c>
      <c r="B61" s="60">
        <f>(B42/C61)/30</f>
        <v>0</v>
      </c>
      <c r="C61" s="213">
        <f>C23</f>
        <v>1200</v>
      </c>
      <c r="D61" s="61">
        <f>(C42/C61)/30</f>
        <v>0</v>
      </c>
    </row>
    <row r="62" spans="1:9" x14ac:dyDescent="0.25">
      <c r="A62" s="1" t="s">
        <v>21</v>
      </c>
      <c r="B62" s="60">
        <f t="shared" ref="B62:B75" si="9">(B43/C62)/30</f>
        <v>0.17777777777777776</v>
      </c>
      <c r="C62" s="214">
        <f>C24</f>
        <v>1200</v>
      </c>
      <c r="D62" s="61">
        <f>(C43/C62)/30</f>
        <v>0.14166666666666666</v>
      </c>
    </row>
    <row r="63" spans="1:9" x14ac:dyDescent="0.25">
      <c r="A63" s="1" t="s">
        <v>22</v>
      </c>
      <c r="B63" s="60">
        <f t="shared" si="9"/>
        <v>2.222222222222222E-2</v>
      </c>
      <c r="C63" s="214">
        <f t="shared" ref="C63:C75" si="10">C25</f>
        <v>450</v>
      </c>
      <c r="D63" s="61">
        <f t="shared" ref="D63:D75" si="11">(C44/C63)/30</f>
        <v>8.8888888888888889E-3</v>
      </c>
    </row>
    <row r="64" spans="1:9" x14ac:dyDescent="0.25">
      <c r="A64" s="1" t="s">
        <v>23</v>
      </c>
      <c r="B64" s="60">
        <f t="shared" si="9"/>
        <v>1.3333333333333333E-3</v>
      </c>
      <c r="C64" s="214">
        <f t="shared" si="10"/>
        <v>2500</v>
      </c>
      <c r="D64" s="61">
        <f>(C45/C64)/30</f>
        <v>1.5333333333333334E-3</v>
      </c>
    </row>
    <row r="65" spans="1:4" x14ac:dyDescent="0.25">
      <c r="A65" s="1" t="s">
        <v>24</v>
      </c>
      <c r="B65" s="60">
        <f t="shared" si="9"/>
        <v>0</v>
      </c>
      <c r="C65" s="214">
        <f t="shared" si="10"/>
        <v>1800</v>
      </c>
      <c r="D65" s="61">
        <f t="shared" si="11"/>
        <v>0</v>
      </c>
    </row>
    <row r="66" spans="1:4" x14ac:dyDescent="0.25">
      <c r="A66" s="1" t="s">
        <v>25</v>
      </c>
      <c r="B66" s="60">
        <f t="shared" si="9"/>
        <v>1.9466666666666667E-2</v>
      </c>
      <c r="C66" s="214">
        <f t="shared" si="10"/>
        <v>1500</v>
      </c>
      <c r="D66" s="61">
        <f t="shared" si="11"/>
        <v>1.5555555555555555E-2</v>
      </c>
    </row>
    <row r="67" spans="1:4" x14ac:dyDescent="0.25">
      <c r="A67" s="1" t="s">
        <v>26</v>
      </c>
      <c r="B67" s="60">
        <f t="shared" si="9"/>
        <v>7.5833333333333336E-2</v>
      </c>
      <c r="C67" s="214">
        <f t="shared" si="10"/>
        <v>200</v>
      </c>
      <c r="D67" s="61">
        <f t="shared" si="11"/>
        <v>6.6666666666666666E-2</v>
      </c>
    </row>
    <row r="68" spans="1:4" x14ac:dyDescent="0.25">
      <c r="A68" s="1" t="s">
        <v>27</v>
      </c>
      <c r="B68" s="60">
        <f t="shared" si="9"/>
        <v>5.6617283950617284E-2</v>
      </c>
      <c r="C68" s="15">
        <f t="shared" si="10"/>
        <v>2700</v>
      </c>
      <c r="D68" s="61">
        <f t="shared" si="11"/>
        <v>2.9629629629629627E-2</v>
      </c>
    </row>
    <row r="69" spans="1:4" x14ac:dyDescent="0.25">
      <c r="A69" s="1" t="s">
        <v>28</v>
      </c>
      <c r="B69" s="60">
        <f t="shared" si="9"/>
        <v>5.2148148148148145E-3</v>
      </c>
      <c r="C69" s="15">
        <f t="shared" si="10"/>
        <v>9000</v>
      </c>
      <c r="D69" s="61">
        <f t="shared" si="11"/>
        <v>7.037037037037037E-3</v>
      </c>
    </row>
    <row r="70" spans="1:4" x14ac:dyDescent="0.25">
      <c r="A70" s="1" t="s">
        <v>29</v>
      </c>
      <c r="B70" s="60">
        <f t="shared" si="9"/>
        <v>2.537037037037037E-2</v>
      </c>
      <c r="C70" s="15">
        <f t="shared" si="10"/>
        <v>2700</v>
      </c>
      <c r="D70" s="61">
        <f t="shared" si="11"/>
        <v>2.3518518518518518E-2</v>
      </c>
    </row>
    <row r="71" spans="1:4" x14ac:dyDescent="0.25">
      <c r="A71" s="1" t="s">
        <v>30</v>
      </c>
      <c r="B71" s="60">
        <f>((B52/C71)/30)*16*(1/188.76)</f>
        <v>0</v>
      </c>
      <c r="C71" s="215">
        <f t="shared" si="10"/>
        <v>160</v>
      </c>
      <c r="D71" s="61">
        <f>((C52/C71)/30)*16*(1/188.76)</f>
        <v>0</v>
      </c>
    </row>
    <row r="72" spans="1:4" x14ac:dyDescent="0.25">
      <c r="A72" s="1" t="s">
        <v>31</v>
      </c>
      <c r="B72" s="60">
        <f>((B53/C72)/30)*16*(1/188.76)</f>
        <v>5.1899190655171519E-3</v>
      </c>
      <c r="C72" s="215">
        <f t="shared" si="10"/>
        <v>380</v>
      </c>
      <c r="D72" s="61">
        <f>((C53/C72)/30)*16*(1/188.76)</f>
        <v>3.3459363602904276E-3</v>
      </c>
    </row>
    <row r="73" spans="1:4" x14ac:dyDescent="0.25">
      <c r="A73" s="1" t="s">
        <v>32</v>
      </c>
      <c r="B73" s="60">
        <f>((B54/C73)/30)*16*(1/188.76)</f>
        <v>1.6729681801452138E-3</v>
      </c>
      <c r="C73" s="215">
        <f t="shared" si="10"/>
        <v>380</v>
      </c>
      <c r="D73" s="61">
        <f>((C54/C73)/30)*16*(1/188.76)</f>
        <v>3.3459363602904276E-3</v>
      </c>
    </row>
    <row r="74" spans="1:4" x14ac:dyDescent="0.25">
      <c r="A74" s="1" t="s">
        <v>170</v>
      </c>
      <c r="B74" s="60">
        <f>((B55/C74)/30)*16*(1/188.76)</f>
        <v>0</v>
      </c>
      <c r="C74" s="215">
        <f t="shared" si="10"/>
        <v>160</v>
      </c>
      <c r="D74" s="61">
        <f>((C55/C74)/30)*8*(1/1132.6)</f>
        <v>0</v>
      </c>
    </row>
    <row r="75" spans="1:4" x14ac:dyDescent="0.25">
      <c r="A75" s="1" t="s">
        <v>171</v>
      </c>
      <c r="B75" s="60">
        <f t="shared" si="9"/>
        <v>0</v>
      </c>
      <c r="C75" s="215">
        <f t="shared" si="10"/>
        <v>360</v>
      </c>
      <c r="D75" s="61">
        <f t="shared" si="11"/>
        <v>0</v>
      </c>
    </row>
    <row r="76" spans="1:4" hidden="1" x14ac:dyDescent="0.25">
      <c r="A76" s="1" t="s">
        <v>38</v>
      </c>
      <c r="B76" s="13">
        <f>SUM(B61:B75)</f>
        <v>0.39069868971479815</v>
      </c>
      <c r="D76" s="17">
        <f>SUM(D61:D75)</f>
        <v>0.30118816901687706</v>
      </c>
    </row>
    <row r="77" spans="1:4" hidden="1" x14ac:dyDescent="0.25">
      <c r="A77" s="9"/>
      <c r="B77" s="10"/>
      <c r="C77" s="11"/>
      <c r="D77" s="12"/>
    </row>
  </sheetData>
  <mergeCells count="4">
    <mergeCell ref="F3:H3"/>
    <mergeCell ref="F10:H10"/>
    <mergeCell ref="F27:H27"/>
    <mergeCell ref="A1:D2"/>
  </mergeCells>
  <pageMargins left="0.511811024" right="0.511811024" top="0.78740157499999996" bottom="0.78740157499999996" header="0.31496062000000002" footer="0.31496062000000002"/>
  <pageSetup paperSize="9" scale="44" orientation="portrait" r:id="rId1"/>
  <colBreaks count="1" manualBreakCount="1">
    <brk id="4"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47"/>
  <sheetViews>
    <sheetView tabSelected="1" view="pageBreakPreview" topLeftCell="A2" zoomScale="70" zoomScaleNormal="100" zoomScaleSheetLayoutView="70" workbookViewId="0">
      <selection activeCell="G10" sqref="G10"/>
    </sheetView>
  </sheetViews>
  <sheetFormatPr defaultColWidth="9.140625" defaultRowHeight="15.75" x14ac:dyDescent="0.25"/>
  <cols>
    <col min="1" max="1" width="9.140625" style="24"/>
    <col min="2" max="2" width="73" style="24" customWidth="1"/>
    <col min="3" max="3" width="18" style="24" customWidth="1"/>
    <col min="4" max="4" width="14.28515625" style="24" customWidth="1"/>
    <col min="5" max="5" width="12.7109375" style="24" customWidth="1"/>
    <col min="6" max="6" width="12" style="24" customWidth="1"/>
    <col min="7" max="7" width="15.140625" style="24" customWidth="1"/>
    <col min="8" max="16384" width="9.140625" style="24"/>
  </cols>
  <sheetData>
    <row r="1" spans="1:4" ht="23.25" x14ac:dyDescent="0.35">
      <c r="A1" s="319" t="s">
        <v>74</v>
      </c>
      <c r="B1" s="319"/>
      <c r="C1" s="319"/>
      <c r="D1" s="319"/>
    </row>
    <row r="2" spans="1:4" ht="23.25" x14ac:dyDescent="0.35">
      <c r="A2" s="319" t="s">
        <v>75</v>
      </c>
      <c r="B2" s="319"/>
      <c r="C2" s="319"/>
      <c r="D2" s="319"/>
    </row>
    <row r="3" spans="1:4" x14ac:dyDescent="0.25">
      <c r="A3" s="320" t="s">
        <v>76</v>
      </c>
      <c r="B3" s="320"/>
      <c r="C3" s="320"/>
      <c r="D3" s="320"/>
    </row>
    <row r="4" spans="1:4" x14ac:dyDescent="0.25">
      <c r="A4" s="25"/>
      <c r="B4" s="25" t="s">
        <v>0</v>
      </c>
      <c r="C4" s="25" t="s">
        <v>5</v>
      </c>
      <c r="D4" s="26"/>
    </row>
    <row r="5" spans="1:4" ht="15.75" customHeight="1" x14ac:dyDescent="0.25">
      <c r="A5" s="26"/>
      <c r="B5" s="26"/>
      <c r="C5" s="25" t="s">
        <v>347</v>
      </c>
      <c r="D5" s="26"/>
    </row>
    <row r="6" spans="1:4" ht="32.25" thickBot="1" x14ac:dyDescent="0.3">
      <c r="A6" s="26"/>
      <c r="B6" s="25" t="s">
        <v>1</v>
      </c>
      <c r="C6" s="51" t="s">
        <v>348</v>
      </c>
      <c r="D6" s="26"/>
    </row>
    <row r="7" spans="1:4" x14ac:dyDescent="0.25">
      <c r="A7" s="329" t="s">
        <v>350</v>
      </c>
      <c r="B7" s="330"/>
      <c r="C7" s="331"/>
    </row>
    <row r="8" spans="1:4" ht="16.5" thickBot="1" x14ac:dyDescent="0.3">
      <c r="A8" s="332" t="s">
        <v>351</v>
      </c>
      <c r="B8" s="333"/>
      <c r="C8" s="334"/>
    </row>
    <row r="9" spans="1:4" ht="16.5" thickBot="1" x14ac:dyDescent="0.3">
      <c r="B9" s="87"/>
      <c r="C9" s="88"/>
    </row>
    <row r="10" spans="1:4" ht="16.5" thickBot="1" x14ac:dyDescent="0.3">
      <c r="A10" s="321" t="s">
        <v>197</v>
      </c>
      <c r="B10" s="322"/>
      <c r="C10" s="323"/>
    </row>
    <row r="11" spans="1:4" ht="16.5" thickBot="1" x14ac:dyDescent="0.3"/>
    <row r="12" spans="1:4" ht="16.5" thickBot="1" x14ac:dyDescent="0.3">
      <c r="A12" s="27">
        <v>1</v>
      </c>
      <c r="B12" s="28" t="s">
        <v>78</v>
      </c>
      <c r="C12" s="28" t="s">
        <v>79</v>
      </c>
    </row>
    <row r="13" spans="1:4" ht="16.5" thickBot="1" x14ac:dyDescent="0.3">
      <c r="A13" s="29" t="s">
        <v>80</v>
      </c>
      <c r="B13" s="30" t="s">
        <v>81</v>
      </c>
      <c r="C13" s="31">
        <v>1470.16</v>
      </c>
    </row>
    <row r="14" spans="1:4" ht="16.5" thickBot="1" x14ac:dyDescent="0.3">
      <c r="A14" s="29" t="s">
        <v>82</v>
      </c>
      <c r="B14" s="30" t="s">
        <v>83</v>
      </c>
      <c r="C14" s="31"/>
    </row>
    <row r="15" spans="1:4" ht="16.5" thickBot="1" x14ac:dyDescent="0.3">
      <c r="A15" s="29" t="s">
        <v>84</v>
      </c>
      <c r="B15" s="30" t="s">
        <v>85</v>
      </c>
      <c r="C15" s="31"/>
    </row>
    <row r="16" spans="1:4" ht="16.5" thickBot="1" x14ac:dyDescent="0.3">
      <c r="A16" s="29" t="s">
        <v>86</v>
      </c>
      <c r="B16" s="30" t="s">
        <v>87</v>
      </c>
      <c r="C16" s="31"/>
    </row>
    <row r="17" spans="1:4" ht="16.5" thickBot="1" x14ac:dyDescent="0.3">
      <c r="A17" s="29" t="s">
        <v>88</v>
      </c>
      <c r="B17" s="30" t="s">
        <v>89</v>
      </c>
      <c r="C17" s="31"/>
    </row>
    <row r="18" spans="1:4" ht="16.5" thickBot="1" x14ac:dyDescent="0.3">
      <c r="A18" s="29" t="s">
        <v>90</v>
      </c>
      <c r="B18" s="30" t="s">
        <v>91</v>
      </c>
      <c r="C18" s="31"/>
    </row>
    <row r="19" spans="1:4" ht="16.5" thickBot="1" x14ac:dyDescent="0.3">
      <c r="A19" s="29" t="s">
        <v>92</v>
      </c>
      <c r="B19" s="30" t="s">
        <v>93</v>
      </c>
      <c r="C19" s="31"/>
    </row>
    <row r="20" spans="1:4" ht="16.5" thickBot="1" x14ac:dyDescent="0.3">
      <c r="A20" s="315" t="s">
        <v>94</v>
      </c>
      <c r="B20" s="316"/>
      <c r="C20" s="32">
        <f>SUM(C13:C19)</f>
        <v>1470.16</v>
      </c>
    </row>
    <row r="23" spans="1:4" x14ac:dyDescent="0.25">
      <c r="A23" s="317" t="s">
        <v>95</v>
      </c>
      <c r="B23" s="317"/>
      <c r="C23" s="317"/>
    </row>
    <row r="24" spans="1:4" x14ac:dyDescent="0.25">
      <c r="A24" s="33"/>
    </row>
    <row r="25" spans="1:4" x14ac:dyDescent="0.25">
      <c r="A25" s="318" t="s">
        <v>96</v>
      </c>
      <c r="B25" s="318"/>
      <c r="C25" s="318"/>
    </row>
    <row r="26" spans="1:4" ht="16.5" thickBot="1" x14ac:dyDescent="0.3"/>
    <row r="27" spans="1:4" ht="16.5" thickBot="1" x14ac:dyDescent="0.3">
      <c r="A27" s="27" t="s">
        <v>97</v>
      </c>
      <c r="B27" s="28" t="s">
        <v>98</v>
      </c>
      <c r="C27" s="28" t="s">
        <v>106</v>
      </c>
      <c r="D27" s="28" t="s">
        <v>79</v>
      </c>
    </row>
    <row r="28" spans="1:4" ht="16.5" thickBot="1" x14ac:dyDescent="0.3">
      <c r="A28" s="29" t="s">
        <v>80</v>
      </c>
      <c r="B28" s="30" t="s">
        <v>99</v>
      </c>
      <c r="C28" s="74">
        <v>8.3299999999999999E-2</v>
      </c>
      <c r="D28" s="31">
        <f>ROUND(C$20*C28,2)</f>
        <v>122.46</v>
      </c>
    </row>
    <row r="29" spans="1:4" ht="16.5" thickBot="1" x14ac:dyDescent="0.3">
      <c r="A29" s="29" t="s">
        <v>82</v>
      </c>
      <c r="B29" s="30" t="s">
        <v>100</v>
      </c>
      <c r="C29" s="74">
        <v>0.121</v>
      </c>
      <c r="D29" s="31">
        <f>ROUND(C$20*C29,2)</f>
        <v>177.89</v>
      </c>
    </row>
    <row r="30" spans="1:4" ht="16.5" customHeight="1" thickBot="1" x14ac:dyDescent="0.3">
      <c r="A30" s="315" t="s">
        <v>101</v>
      </c>
      <c r="B30" s="324"/>
      <c r="C30" s="75">
        <f>C29+C28</f>
        <v>0.20429999999999998</v>
      </c>
      <c r="D30" s="31">
        <f>D29+D28</f>
        <v>300.34999999999997</v>
      </c>
    </row>
    <row r="31" spans="1:4" ht="16.5" customHeight="1" thickBot="1" x14ac:dyDescent="0.3">
      <c r="A31" s="326" t="s">
        <v>102</v>
      </c>
      <c r="B31" s="327"/>
      <c r="C31" s="328"/>
      <c r="D31" s="85">
        <f>ROUND(D30*C45,2)</f>
        <v>110.53</v>
      </c>
    </row>
    <row r="32" spans="1:4" ht="16.5" thickBot="1" x14ac:dyDescent="0.3">
      <c r="A32" s="326" t="s">
        <v>94</v>
      </c>
      <c r="B32" s="327"/>
      <c r="C32" s="328"/>
      <c r="D32" s="85">
        <f>D31+D30</f>
        <v>410.88</v>
      </c>
    </row>
    <row r="34" spans="1:4" ht="32.25" customHeight="1" x14ac:dyDescent="0.25">
      <c r="A34" s="325" t="s">
        <v>103</v>
      </c>
      <c r="B34" s="325"/>
      <c r="C34" s="325"/>
      <c r="D34" s="325"/>
    </row>
    <row r="35" spans="1:4" ht="16.5" thickBot="1" x14ac:dyDescent="0.3">
      <c r="C35" s="49"/>
      <c r="D35" s="49"/>
    </row>
    <row r="36" spans="1:4" ht="16.5" thickBot="1" x14ac:dyDescent="0.3">
      <c r="A36" s="27" t="s">
        <v>104</v>
      </c>
      <c r="B36" s="28" t="s">
        <v>105</v>
      </c>
      <c r="C36" s="28" t="s">
        <v>106</v>
      </c>
      <c r="D36" s="28" t="s">
        <v>79</v>
      </c>
    </row>
    <row r="37" spans="1:4" ht="16.5" thickBot="1" x14ac:dyDescent="0.3">
      <c r="A37" s="29" t="s">
        <v>80</v>
      </c>
      <c r="B37" s="30" t="s">
        <v>107</v>
      </c>
      <c r="C37" s="34">
        <v>0.2</v>
      </c>
      <c r="D37" s="31">
        <f>(C37*$C$20)+($D$30*C37)</f>
        <v>354.10200000000003</v>
      </c>
    </row>
    <row r="38" spans="1:4" ht="16.5" thickBot="1" x14ac:dyDescent="0.3">
      <c r="A38" s="29" t="s">
        <v>82</v>
      </c>
      <c r="B38" s="30" t="s">
        <v>108</v>
      </c>
      <c r="C38" s="34">
        <v>2.5000000000000001E-2</v>
      </c>
      <c r="D38" s="31">
        <f t="shared" ref="D38:D45" si="0">(C38*$C$20)+($D$30*C38)</f>
        <v>44.262750000000004</v>
      </c>
    </row>
    <row r="39" spans="1:4" ht="16.5" thickBot="1" x14ac:dyDescent="0.3">
      <c r="A39" s="29" t="s">
        <v>84</v>
      </c>
      <c r="B39" s="30" t="s">
        <v>109</v>
      </c>
      <c r="C39" s="34">
        <v>0.03</v>
      </c>
      <c r="D39" s="31">
        <f t="shared" si="0"/>
        <v>53.115299999999998</v>
      </c>
    </row>
    <row r="40" spans="1:4" ht="16.5" thickBot="1" x14ac:dyDescent="0.3">
      <c r="A40" s="29" t="s">
        <v>86</v>
      </c>
      <c r="B40" s="30" t="s">
        <v>110</v>
      </c>
      <c r="C40" s="34">
        <v>1.4999999999999999E-2</v>
      </c>
      <c r="D40" s="31">
        <f t="shared" si="0"/>
        <v>26.557649999999999</v>
      </c>
    </row>
    <row r="41" spans="1:4" ht="16.5" thickBot="1" x14ac:dyDescent="0.3">
      <c r="A41" s="29" t="s">
        <v>88</v>
      </c>
      <c r="B41" s="30" t="s">
        <v>111</v>
      </c>
      <c r="C41" s="34">
        <v>0.01</v>
      </c>
      <c r="D41" s="31">
        <f t="shared" si="0"/>
        <v>17.705100000000002</v>
      </c>
    </row>
    <row r="42" spans="1:4" ht="16.5" thickBot="1" x14ac:dyDescent="0.3">
      <c r="A42" s="29" t="s">
        <v>112</v>
      </c>
      <c r="B42" s="30" t="s">
        <v>113</v>
      </c>
      <c r="C42" s="34">
        <v>6.0000000000000001E-3</v>
      </c>
      <c r="D42" s="31">
        <f t="shared" si="0"/>
        <v>10.623060000000001</v>
      </c>
    </row>
    <row r="43" spans="1:4" ht="16.5" thickBot="1" x14ac:dyDescent="0.3">
      <c r="A43" s="29" t="s">
        <v>92</v>
      </c>
      <c r="B43" s="30" t="s">
        <v>114</v>
      </c>
      <c r="C43" s="34">
        <v>2E-3</v>
      </c>
      <c r="D43" s="31">
        <f t="shared" si="0"/>
        <v>3.5410200000000001</v>
      </c>
    </row>
    <row r="44" spans="1:4" ht="16.5" thickBot="1" x14ac:dyDescent="0.3">
      <c r="A44" s="29" t="s">
        <v>115</v>
      </c>
      <c r="B44" s="30" t="s">
        <v>116</v>
      </c>
      <c r="C44" s="34">
        <v>0.08</v>
      </c>
      <c r="D44" s="31">
        <f t="shared" si="0"/>
        <v>141.64080000000001</v>
      </c>
    </row>
    <row r="45" spans="1:4" ht="16.5" thickBot="1" x14ac:dyDescent="0.3">
      <c r="A45" s="315" t="s">
        <v>117</v>
      </c>
      <c r="B45" s="316"/>
      <c r="C45" s="34">
        <f>SUM(C37:C44)</f>
        <v>0.36800000000000005</v>
      </c>
      <c r="D45" s="31">
        <f t="shared" si="0"/>
        <v>651.54768000000013</v>
      </c>
    </row>
    <row r="48" spans="1:4" x14ac:dyDescent="0.25">
      <c r="A48" s="318" t="s">
        <v>118</v>
      </c>
      <c r="B48" s="318"/>
      <c r="C48" s="318"/>
    </row>
    <row r="49" spans="1:3" ht="16.5" thickBot="1" x14ac:dyDescent="0.3"/>
    <row r="50" spans="1:3" ht="16.5" thickBot="1" x14ac:dyDescent="0.3">
      <c r="A50" s="27" t="s">
        <v>119</v>
      </c>
      <c r="B50" s="28" t="s">
        <v>120</v>
      </c>
      <c r="C50" s="28" t="s">
        <v>79</v>
      </c>
    </row>
    <row r="51" spans="1:3" ht="16.5" thickBot="1" x14ac:dyDescent="0.3">
      <c r="A51" s="29" t="s">
        <v>80</v>
      </c>
      <c r="B51" s="30" t="s">
        <v>121</v>
      </c>
      <c r="C51" s="31">
        <f>(52*'Novo Simulador'!C20)-(C20*6%)</f>
        <v>145.79040000000001</v>
      </c>
    </row>
    <row r="52" spans="1:3" ht="16.5" thickBot="1" x14ac:dyDescent="0.3">
      <c r="A52" s="29" t="s">
        <v>82</v>
      </c>
      <c r="B52" s="30" t="s">
        <v>122</v>
      </c>
      <c r="C52" s="31">
        <f>227.05-(227.05*0.2)</f>
        <v>181.64000000000001</v>
      </c>
    </row>
    <row r="53" spans="1:3" ht="16.5" thickBot="1" x14ac:dyDescent="0.3">
      <c r="A53" s="29" t="s">
        <v>84</v>
      </c>
      <c r="B53" s="30" t="s">
        <v>200</v>
      </c>
      <c r="C53" s="31">
        <v>15</v>
      </c>
    </row>
    <row r="54" spans="1:3" ht="16.5" thickBot="1" x14ac:dyDescent="0.3">
      <c r="A54" s="29" t="s">
        <v>86</v>
      </c>
      <c r="B54" s="30" t="s">
        <v>199</v>
      </c>
      <c r="C54" s="31">
        <v>128.35</v>
      </c>
    </row>
    <row r="55" spans="1:3" ht="16.5" thickBot="1" x14ac:dyDescent="0.3">
      <c r="A55" s="29" t="s">
        <v>88</v>
      </c>
      <c r="B55" s="30" t="s">
        <v>201</v>
      </c>
      <c r="C55" s="55">
        <v>0.61</v>
      </c>
    </row>
    <row r="56" spans="1:3" ht="16.5" thickBot="1" x14ac:dyDescent="0.3">
      <c r="A56" s="315" t="s">
        <v>94</v>
      </c>
      <c r="B56" s="316"/>
      <c r="C56" s="31">
        <f>SUM(C51:C55)</f>
        <v>471.3904</v>
      </c>
    </row>
    <row r="59" spans="1:3" x14ac:dyDescent="0.25">
      <c r="A59" s="318" t="s">
        <v>124</v>
      </c>
      <c r="B59" s="318"/>
      <c r="C59" s="318"/>
    </row>
    <row r="60" spans="1:3" ht="16.5" thickBot="1" x14ac:dyDescent="0.3"/>
    <row r="61" spans="1:3" ht="16.5" thickBot="1" x14ac:dyDescent="0.3">
      <c r="A61" s="27">
        <v>2</v>
      </c>
      <c r="B61" s="28" t="s">
        <v>125</v>
      </c>
      <c r="C61" s="28" t="s">
        <v>79</v>
      </c>
    </row>
    <row r="62" spans="1:3" ht="16.5" thickBot="1" x14ac:dyDescent="0.3">
      <c r="A62" s="29" t="s">
        <v>97</v>
      </c>
      <c r="B62" s="30" t="s">
        <v>98</v>
      </c>
      <c r="C62" s="31">
        <f>D30</f>
        <v>300.34999999999997</v>
      </c>
    </row>
    <row r="63" spans="1:3" ht="16.5" thickBot="1" x14ac:dyDescent="0.3">
      <c r="A63" s="29" t="s">
        <v>104</v>
      </c>
      <c r="B63" s="30" t="s">
        <v>105</v>
      </c>
      <c r="C63" s="31">
        <f>D45</f>
        <v>651.54768000000013</v>
      </c>
    </row>
    <row r="64" spans="1:3" ht="16.5" thickBot="1" x14ac:dyDescent="0.3">
      <c r="A64" s="29" t="s">
        <v>119</v>
      </c>
      <c r="B64" s="30" t="s">
        <v>120</v>
      </c>
      <c r="C64" s="31">
        <f>C56</f>
        <v>471.3904</v>
      </c>
    </row>
    <row r="65" spans="1:4" ht="16.5" thickBot="1" x14ac:dyDescent="0.3">
      <c r="A65" s="315" t="s">
        <v>94</v>
      </c>
      <c r="B65" s="316"/>
      <c r="C65" s="31">
        <f>SUM(C62:C64)</f>
        <v>1423.28808</v>
      </c>
    </row>
    <row r="66" spans="1:4" x14ac:dyDescent="0.25">
      <c r="A66" s="35"/>
    </row>
    <row r="68" spans="1:4" x14ac:dyDescent="0.25">
      <c r="A68" s="317" t="s">
        <v>126</v>
      </c>
      <c r="B68" s="317"/>
      <c r="C68" s="317"/>
    </row>
    <row r="69" spans="1:4" ht="16.5" thickBot="1" x14ac:dyDescent="0.3"/>
    <row r="70" spans="1:4" ht="16.5" thickBot="1" x14ac:dyDescent="0.3">
      <c r="A70" s="27">
        <v>3</v>
      </c>
      <c r="B70" s="28" t="s">
        <v>127</v>
      </c>
      <c r="C70" s="28" t="s">
        <v>106</v>
      </c>
      <c r="D70" s="28" t="s">
        <v>79</v>
      </c>
    </row>
    <row r="71" spans="1:4" ht="16.5" thickBot="1" x14ac:dyDescent="0.3">
      <c r="A71" s="29" t="s">
        <v>80</v>
      </c>
      <c r="B71" s="36" t="s">
        <v>56</v>
      </c>
      <c r="C71" s="82">
        <v>4.1700000000000001E-3</v>
      </c>
      <c r="D71" s="31">
        <f>C71*($C$20+$C$62)</f>
        <v>7.3830267000000003</v>
      </c>
    </row>
    <row r="72" spans="1:4" ht="16.5" thickBot="1" x14ac:dyDescent="0.3">
      <c r="A72" s="29" t="s">
        <v>82</v>
      </c>
      <c r="B72" s="36" t="s">
        <v>128</v>
      </c>
      <c r="C72" s="82">
        <f>C71*C44</f>
        <v>3.3360000000000003E-4</v>
      </c>
      <c r="D72" s="31">
        <f>C72*($C$20+$C$62)</f>
        <v>0.59064213600000004</v>
      </c>
    </row>
    <row r="73" spans="1:4" ht="16.5" thickBot="1" x14ac:dyDescent="0.3">
      <c r="A73" s="29" t="s">
        <v>84</v>
      </c>
      <c r="B73" s="36" t="s">
        <v>67</v>
      </c>
      <c r="C73" s="83">
        <f>ROUND((((1+1/12+0.121)*0.08)*0.4)*0.9,4)</f>
        <v>3.4700000000000002E-2</v>
      </c>
      <c r="D73" s="31">
        <f>C73*($C$20+$C$62)</f>
        <v>61.436697000000002</v>
      </c>
    </row>
    <row r="74" spans="1:4" ht="16.5" thickBot="1" x14ac:dyDescent="0.3">
      <c r="A74" s="29" t="s">
        <v>86</v>
      </c>
      <c r="B74" s="36" t="s">
        <v>129</v>
      </c>
      <c r="C74" s="83">
        <f>ROUND(((1/30)*7)/12,4)</f>
        <v>1.9400000000000001E-2</v>
      </c>
      <c r="D74" s="31">
        <f>C74*($C$20+$C$62)</f>
        <v>34.347894000000004</v>
      </c>
    </row>
    <row r="75" spans="1:4" ht="27.75" customHeight="1" thickBot="1" x14ac:dyDescent="0.3">
      <c r="A75" s="29" t="s">
        <v>88</v>
      </c>
      <c r="B75" s="36" t="s">
        <v>130</v>
      </c>
      <c r="C75" s="83">
        <f>C45*C74</f>
        <v>7.1392000000000009E-3</v>
      </c>
      <c r="D75" s="31">
        <f t="shared" ref="D75:D76" si="1">C75*($C$20+$C$62)</f>
        <v>12.640024992000001</v>
      </c>
    </row>
    <row r="76" spans="1:4" ht="27.75" customHeight="1" thickBot="1" x14ac:dyDescent="0.3">
      <c r="A76" s="29" t="s">
        <v>112</v>
      </c>
      <c r="B76" s="36" t="s">
        <v>349</v>
      </c>
      <c r="C76" s="83">
        <v>5.3E-3</v>
      </c>
      <c r="D76" s="31">
        <f t="shared" si="1"/>
        <v>9.3837030000000006</v>
      </c>
    </row>
    <row r="77" spans="1:4" ht="16.5" thickBot="1" x14ac:dyDescent="0.3">
      <c r="A77" s="315" t="s">
        <v>94</v>
      </c>
      <c r="B77" s="316"/>
      <c r="C77" s="84">
        <f>SUM(C71:C75)</f>
        <v>6.5742800000000004E-2</v>
      </c>
      <c r="D77" s="31">
        <f>SUM(D71:D76)</f>
        <v>125.78198782800001</v>
      </c>
    </row>
    <row r="80" spans="1:4" x14ac:dyDescent="0.25">
      <c r="A80" s="317" t="s">
        <v>131</v>
      </c>
      <c r="B80" s="317"/>
      <c r="C80" s="317"/>
    </row>
    <row r="83" spans="1:4" x14ac:dyDescent="0.25">
      <c r="A83" s="318" t="s">
        <v>132</v>
      </c>
      <c r="B83" s="318"/>
      <c r="C83" s="318"/>
    </row>
    <row r="84" spans="1:4" ht="16.5" thickBot="1" x14ac:dyDescent="0.3">
      <c r="A84" s="33"/>
    </row>
    <row r="85" spans="1:4" ht="16.5" thickBot="1" x14ac:dyDescent="0.3">
      <c r="A85" s="27" t="s">
        <v>133</v>
      </c>
      <c r="B85" s="28" t="s">
        <v>134</v>
      </c>
      <c r="C85" s="28" t="s">
        <v>106</v>
      </c>
      <c r="D85" s="28" t="s">
        <v>79</v>
      </c>
    </row>
    <row r="86" spans="1:4" ht="16.5" thickBot="1" x14ac:dyDescent="0.3">
      <c r="A86" s="29" t="s">
        <v>80</v>
      </c>
      <c r="B86" s="30" t="s">
        <v>69</v>
      </c>
      <c r="C86" s="73">
        <v>1.6199999999999999E-2</v>
      </c>
      <c r="D86" s="55">
        <f>C86*$C$20</f>
        <v>23.816592</v>
      </c>
    </row>
    <row r="87" spans="1:4" ht="16.5" thickBot="1" x14ac:dyDescent="0.3">
      <c r="A87" s="29" t="s">
        <v>82</v>
      </c>
      <c r="B87" s="30" t="s">
        <v>70</v>
      </c>
      <c r="C87" s="73">
        <v>8.2000000000000007E-3</v>
      </c>
      <c r="D87" s="55">
        <f t="shared" ref="D87:D91" si="2">C87*$C$20</f>
        <v>12.055312000000002</v>
      </c>
    </row>
    <row r="88" spans="1:4" ht="16.5" thickBot="1" x14ac:dyDescent="0.3">
      <c r="A88" s="29" t="s">
        <v>84</v>
      </c>
      <c r="B88" s="30" t="s">
        <v>71</v>
      </c>
      <c r="C88" s="73">
        <v>2.1000000000000001E-4</v>
      </c>
      <c r="D88" s="55">
        <f t="shared" si="2"/>
        <v>0.30873360000000005</v>
      </c>
    </row>
    <row r="89" spans="1:4" ht="16.5" thickBot="1" x14ac:dyDescent="0.3">
      <c r="A89" s="29" t="s">
        <v>86</v>
      </c>
      <c r="B89" s="30" t="s">
        <v>72</v>
      </c>
      <c r="C89" s="73">
        <v>2.9999999999999997E-4</v>
      </c>
      <c r="D89" s="55">
        <f t="shared" si="2"/>
        <v>0.441048</v>
      </c>
    </row>
    <row r="90" spans="1:4" ht="16.5" thickBot="1" x14ac:dyDescent="0.3">
      <c r="A90" s="29" t="s">
        <v>88</v>
      </c>
      <c r="B90" s="30" t="s">
        <v>73</v>
      </c>
      <c r="C90" s="73">
        <f>ROUND(((1+1/3)/12)*(4/12)*0.02,4)</f>
        <v>6.9999999999999999E-4</v>
      </c>
      <c r="D90" s="55">
        <f t="shared" si="2"/>
        <v>1.029112</v>
      </c>
    </row>
    <row r="91" spans="1:4" ht="16.5" thickBot="1" x14ac:dyDescent="0.3">
      <c r="A91" s="29" t="s">
        <v>112</v>
      </c>
      <c r="B91" s="30" t="s">
        <v>135</v>
      </c>
      <c r="C91" s="73">
        <v>0</v>
      </c>
      <c r="D91" s="55">
        <f t="shared" si="2"/>
        <v>0</v>
      </c>
    </row>
    <row r="92" spans="1:4" ht="16.5" thickBot="1" x14ac:dyDescent="0.3">
      <c r="A92" s="315" t="s">
        <v>117</v>
      </c>
      <c r="B92" s="316"/>
      <c r="C92" s="34">
        <f>SUM(C86:C91)</f>
        <v>2.5609999999999997E-2</v>
      </c>
      <c r="D92" s="55">
        <f>SUM(D86:D91)</f>
        <v>37.650797599999997</v>
      </c>
    </row>
    <row r="95" spans="1:4" x14ac:dyDescent="0.25">
      <c r="A95" s="318" t="s">
        <v>136</v>
      </c>
      <c r="B95" s="318"/>
      <c r="C95" s="318"/>
    </row>
    <row r="96" spans="1:4" ht="16.5" thickBot="1" x14ac:dyDescent="0.3">
      <c r="A96" s="33"/>
    </row>
    <row r="97" spans="1:4" ht="16.5" thickBot="1" x14ac:dyDescent="0.3">
      <c r="A97" s="27" t="s">
        <v>137</v>
      </c>
      <c r="B97" s="28" t="s">
        <v>138</v>
      </c>
      <c r="C97" s="28" t="s">
        <v>106</v>
      </c>
      <c r="D97" s="28" t="s">
        <v>79</v>
      </c>
    </row>
    <row r="98" spans="1:4" ht="16.5" thickBot="1" x14ac:dyDescent="0.3">
      <c r="A98" s="29" t="s">
        <v>80</v>
      </c>
      <c r="B98" s="30" t="s">
        <v>139</v>
      </c>
      <c r="C98" s="39">
        <v>0</v>
      </c>
      <c r="D98" s="31">
        <f>C20*C98</f>
        <v>0</v>
      </c>
    </row>
    <row r="99" spans="1:4" ht="16.5" thickBot="1" x14ac:dyDescent="0.3">
      <c r="A99" s="315" t="s">
        <v>94</v>
      </c>
      <c r="B99" s="316"/>
      <c r="C99" s="39">
        <f>C98</f>
        <v>0</v>
      </c>
      <c r="D99" s="31">
        <f>D98</f>
        <v>0</v>
      </c>
    </row>
    <row r="102" spans="1:4" x14ac:dyDescent="0.25">
      <c r="A102" s="318" t="s">
        <v>140</v>
      </c>
      <c r="B102" s="318"/>
      <c r="C102" s="318"/>
    </row>
    <row r="103" spans="1:4" ht="16.5" thickBot="1" x14ac:dyDescent="0.3">
      <c r="A103" s="33"/>
    </row>
    <row r="104" spans="1:4" ht="16.5" thickBot="1" x14ac:dyDescent="0.3">
      <c r="A104" s="27">
        <v>4</v>
      </c>
      <c r="B104" s="28" t="s">
        <v>141</v>
      </c>
      <c r="C104" s="28" t="s">
        <v>79</v>
      </c>
    </row>
    <row r="105" spans="1:4" ht="16.5" thickBot="1" x14ac:dyDescent="0.3">
      <c r="A105" s="29" t="s">
        <v>133</v>
      </c>
      <c r="B105" s="30" t="s">
        <v>142</v>
      </c>
      <c r="C105" s="31">
        <f>D92</f>
        <v>37.650797599999997</v>
      </c>
      <c r="D105" s="49"/>
    </row>
    <row r="106" spans="1:4" ht="16.5" thickBot="1" x14ac:dyDescent="0.3">
      <c r="A106" s="29" t="s">
        <v>137</v>
      </c>
      <c r="B106" s="30" t="s">
        <v>143</v>
      </c>
      <c r="C106" s="31">
        <f>D99</f>
        <v>0</v>
      </c>
      <c r="D106" s="49"/>
    </row>
    <row r="107" spans="1:4" ht="16.5" thickBot="1" x14ac:dyDescent="0.3">
      <c r="A107" s="40" t="s">
        <v>80</v>
      </c>
      <c r="B107" s="30" t="s">
        <v>144</v>
      </c>
      <c r="C107" s="31">
        <f>(C105+C106)*C45</f>
        <v>13.855493516800001</v>
      </c>
      <c r="D107" s="49"/>
    </row>
    <row r="108" spans="1:4" ht="16.5" thickBot="1" x14ac:dyDescent="0.3">
      <c r="A108" s="315" t="s">
        <v>94</v>
      </c>
      <c r="B108" s="316"/>
      <c r="C108" s="31">
        <f>SUM(C105:C107)</f>
        <v>51.5062911168</v>
      </c>
      <c r="D108" s="49"/>
    </row>
    <row r="111" spans="1:4" x14ac:dyDescent="0.25">
      <c r="A111" s="317" t="s">
        <v>145</v>
      </c>
      <c r="B111" s="317"/>
      <c r="C111" s="317"/>
    </row>
    <row r="112" spans="1:4" ht="16.5" thickBot="1" x14ac:dyDescent="0.3"/>
    <row r="113" spans="1:4" ht="16.5" thickBot="1" x14ac:dyDescent="0.3">
      <c r="A113" s="27">
        <v>5</v>
      </c>
      <c r="B113" s="41" t="s">
        <v>146</v>
      </c>
      <c r="C113" s="28" t="s">
        <v>79</v>
      </c>
    </row>
    <row r="114" spans="1:4" ht="16.5" thickBot="1" x14ac:dyDescent="0.3">
      <c r="A114" s="29" t="s">
        <v>80</v>
      </c>
      <c r="B114" s="30" t="s">
        <v>202</v>
      </c>
      <c r="C114" s="55">
        <f>Fardamento!F13</f>
        <v>85.55749999999999</v>
      </c>
    </row>
    <row r="115" spans="1:4" ht="16.5" thickBot="1" x14ac:dyDescent="0.3">
      <c r="A115" s="29" t="s">
        <v>82</v>
      </c>
      <c r="B115" s="30" t="s">
        <v>3</v>
      </c>
      <c r="C115" s="55" cm="1">
        <f t="array" ref="C115:D115">'Insumos v2'!E10:F10</f>
        <v>1234.3091666666662</v>
      </c>
      <c r="D115" s="24">
        <v>0</v>
      </c>
    </row>
    <row r="116" spans="1:4" ht="16.5" thickBot="1" x14ac:dyDescent="0.3">
      <c r="A116" s="29" t="s">
        <v>84</v>
      </c>
      <c r="B116" s="30" t="s">
        <v>147</v>
      </c>
      <c r="C116" s="55" cm="1">
        <f t="array" ref="C116:D116">'Insumos v2'!E11:F11</f>
        <v>265.81416666666667</v>
      </c>
      <c r="D116" s="24">
        <v>0</v>
      </c>
    </row>
    <row r="117" spans="1:4" ht="16.5" thickBot="1" x14ac:dyDescent="0.3">
      <c r="A117" s="29" t="s">
        <v>86</v>
      </c>
      <c r="B117" s="30" t="s">
        <v>192</v>
      </c>
      <c r="C117" s="55" cm="1">
        <f t="array" ref="C117:D117">'Insumos v2'!E12:F12</f>
        <v>64.837685185185194</v>
      </c>
      <c r="D117" s="24">
        <v>0</v>
      </c>
    </row>
    <row r="118" spans="1:4" ht="16.5" thickBot="1" x14ac:dyDescent="0.3">
      <c r="A118" s="315" t="s">
        <v>117</v>
      </c>
      <c r="B118" s="316"/>
      <c r="C118" s="31">
        <f>SUM(C114:C117)</f>
        <v>1650.518518518518</v>
      </c>
    </row>
    <row r="121" spans="1:4" x14ac:dyDescent="0.25">
      <c r="A121" s="317" t="s">
        <v>148</v>
      </c>
      <c r="B121" s="317"/>
      <c r="C121" s="317"/>
    </row>
    <row r="122" spans="1:4" ht="16.5" thickBot="1" x14ac:dyDescent="0.3"/>
    <row r="123" spans="1:4" ht="16.5" thickBot="1" x14ac:dyDescent="0.3">
      <c r="A123" s="27">
        <v>6</v>
      </c>
      <c r="B123" s="41" t="s">
        <v>149</v>
      </c>
      <c r="C123" s="28" t="s">
        <v>106</v>
      </c>
      <c r="D123" s="28" t="s">
        <v>79</v>
      </c>
    </row>
    <row r="124" spans="1:4" ht="16.5" thickBot="1" x14ac:dyDescent="0.3">
      <c r="A124" s="29" t="s">
        <v>80</v>
      </c>
      <c r="B124" s="30" t="s">
        <v>33</v>
      </c>
      <c r="C124" s="73">
        <v>0.03</v>
      </c>
      <c r="D124" s="31">
        <f>C124*C142</f>
        <v>141.63764632389956</v>
      </c>
    </row>
    <row r="125" spans="1:4" ht="16.5" thickBot="1" x14ac:dyDescent="0.3">
      <c r="A125" s="29" t="s">
        <v>82</v>
      </c>
      <c r="B125" s="30" t="s">
        <v>34</v>
      </c>
      <c r="C125" s="73">
        <v>6.7900000000000002E-2</v>
      </c>
      <c r="D125" s="55">
        <f>(D124+C142)*C125</f>
        <v>330.19040236515212</v>
      </c>
    </row>
    <row r="126" spans="1:4" ht="16.5" thickBot="1" x14ac:dyDescent="0.3">
      <c r="A126" s="29" t="s">
        <v>84</v>
      </c>
      <c r="B126" s="30" t="s">
        <v>4</v>
      </c>
      <c r="C126" s="34">
        <f>SUM(C127:C130)</f>
        <v>8.6499999999999994E-2</v>
      </c>
      <c r="D126" s="55">
        <f>((D124+D125+C142)/(100%-C126)) - (D124+D125+C142)</f>
        <v>491.7369163789599</v>
      </c>
    </row>
    <row r="127" spans="1:4" ht="16.5" thickBot="1" x14ac:dyDescent="0.3">
      <c r="A127" s="29"/>
      <c r="B127" s="42" t="s">
        <v>412</v>
      </c>
      <c r="C127" s="50">
        <v>6.4999999999999997E-3</v>
      </c>
      <c r="D127" s="43"/>
    </row>
    <row r="128" spans="1:4" ht="16.5" thickBot="1" x14ac:dyDescent="0.3">
      <c r="A128" s="29"/>
      <c r="B128" s="42" t="s">
        <v>413</v>
      </c>
      <c r="C128" s="50">
        <v>0.03</v>
      </c>
      <c r="D128" s="43"/>
    </row>
    <row r="129" spans="1:4" ht="16.5" thickBot="1" x14ac:dyDescent="0.3">
      <c r="A129" s="29"/>
      <c r="B129" s="42" t="s">
        <v>151</v>
      </c>
      <c r="C129" s="50">
        <v>0</v>
      </c>
      <c r="D129" s="43"/>
    </row>
    <row r="130" spans="1:4" ht="16.5" thickBot="1" x14ac:dyDescent="0.3">
      <c r="A130" s="29"/>
      <c r="B130" s="42" t="s">
        <v>152</v>
      </c>
      <c r="C130" s="44">
        <v>0.05</v>
      </c>
      <c r="D130" s="43"/>
    </row>
    <row r="131" spans="1:4" ht="16.5" thickBot="1" x14ac:dyDescent="0.3">
      <c r="A131" s="315" t="s">
        <v>117</v>
      </c>
      <c r="B131" s="316"/>
      <c r="C131" s="34"/>
      <c r="D131" s="31">
        <f>D124+D125+D126</f>
        <v>963.56496506801159</v>
      </c>
    </row>
    <row r="134" spans="1:4" x14ac:dyDescent="0.25">
      <c r="A134" s="317" t="s">
        <v>153</v>
      </c>
      <c r="B134" s="317"/>
      <c r="C134" s="317"/>
    </row>
    <row r="135" spans="1:4" ht="16.5" thickBot="1" x14ac:dyDescent="0.3"/>
    <row r="136" spans="1:4" ht="16.5" thickBot="1" x14ac:dyDescent="0.3">
      <c r="A136" s="27"/>
      <c r="B136" s="28" t="s">
        <v>154</v>
      </c>
      <c r="C136" s="28" t="s">
        <v>79</v>
      </c>
    </row>
    <row r="137" spans="1:4" ht="16.5" thickBot="1" x14ac:dyDescent="0.3">
      <c r="A137" s="45" t="s">
        <v>80</v>
      </c>
      <c r="B137" s="30" t="s">
        <v>77</v>
      </c>
      <c r="C137" s="46">
        <f>C20</f>
        <v>1470.16</v>
      </c>
    </row>
    <row r="138" spans="1:4" ht="16.5" thickBot="1" x14ac:dyDescent="0.3">
      <c r="A138" s="45" t="s">
        <v>82</v>
      </c>
      <c r="B138" s="30" t="s">
        <v>95</v>
      </c>
      <c r="C138" s="46">
        <f>C65</f>
        <v>1423.28808</v>
      </c>
    </row>
    <row r="139" spans="1:4" ht="16.5" thickBot="1" x14ac:dyDescent="0.3">
      <c r="A139" s="45" t="s">
        <v>84</v>
      </c>
      <c r="B139" s="30" t="s">
        <v>126</v>
      </c>
      <c r="C139" s="46">
        <f>D77</f>
        <v>125.78198782800001</v>
      </c>
    </row>
    <row r="140" spans="1:4" ht="16.5" thickBot="1" x14ac:dyDescent="0.3">
      <c r="A140" s="45" t="s">
        <v>86</v>
      </c>
      <c r="B140" s="30" t="s">
        <v>131</v>
      </c>
      <c r="C140" s="47">
        <f>C108</f>
        <v>51.5062911168</v>
      </c>
    </row>
    <row r="141" spans="1:4" ht="16.5" thickBot="1" x14ac:dyDescent="0.3">
      <c r="A141" s="45" t="s">
        <v>88</v>
      </c>
      <c r="B141" s="30" t="s">
        <v>145</v>
      </c>
      <c r="C141" s="46">
        <f>C118</f>
        <v>1650.518518518518</v>
      </c>
    </row>
    <row r="142" spans="1:4" ht="16.5" thickBot="1" x14ac:dyDescent="0.3">
      <c r="A142" s="315" t="s">
        <v>155</v>
      </c>
      <c r="B142" s="316"/>
      <c r="C142" s="46">
        <f>SUM(C137:C141)</f>
        <v>4721.2548774633187</v>
      </c>
    </row>
    <row r="143" spans="1:4" ht="16.5" thickBot="1" x14ac:dyDescent="0.3">
      <c r="A143" s="45" t="s">
        <v>112</v>
      </c>
      <c r="B143" s="30" t="s">
        <v>156</v>
      </c>
      <c r="C143" s="46">
        <f>D131</f>
        <v>963.56496506801159</v>
      </c>
    </row>
    <row r="144" spans="1:4" ht="16.5" thickBot="1" x14ac:dyDescent="0.3">
      <c r="A144" s="315" t="s">
        <v>157</v>
      </c>
      <c r="B144" s="316"/>
      <c r="C144" s="46">
        <f>C143+C142</f>
        <v>5684.8198425313303</v>
      </c>
      <c r="D144" s="49"/>
    </row>
    <row r="146" spans="1:4" x14ac:dyDescent="0.25">
      <c r="A146" s="314" t="s">
        <v>204</v>
      </c>
      <c r="B146" s="314"/>
      <c r="C146" s="314"/>
      <c r="D146" s="314"/>
    </row>
    <row r="147" spans="1:4" ht="42.75" customHeight="1" x14ac:dyDescent="0.25">
      <c r="A147" s="314"/>
      <c r="B147" s="314"/>
      <c r="C147" s="314"/>
      <c r="D147" s="314"/>
    </row>
  </sheetData>
  <mergeCells count="35">
    <mergeCell ref="A45:B45"/>
    <mergeCell ref="A1:D1"/>
    <mergeCell ref="A2:D2"/>
    <mergeCell ref="A3:D3"/>
    <mergeCell ref="A10:C10"/>
    <mergeCell ref="A20:B20"/>
    <mergeCell ref="A23:C23"/>
    <mergeCell ref="A25:C25"/>
    <mergeCell ref="A30:B30"/>
    <mergeCell ref="A34:D34"/>
    <mergeCell ref="A31:C31"/>
    <mergeCell ref="A32:C32"/>
    <mergeCell ref="A7:C7"/>
    <mergeCell ref="A8:C8"/>
    <mergeCell ref="A102:C102"/>
    <mergeCell ref="A48:C48"/>
    <mergeCell ref="A56:B56"/>
    <mergeCell ref="A59:C59"/>
    <mergeCell ref="A65:B65"/>
    <mergeCell ref="A68:C68"/>
    <mergeCell ref="A77:B77"/>
    <mergeCell ref="A80:C80"/>
    <mergeCell ref="A83:C83"/>
    <mergeCell ref="A92:B92"/>
    <mergeCell ref="A95:C95"/>
    <mergeCell ref="A99:B99"/>
    <mergeCell ref="A146:D147"/>
    <mergeCell ref="A142:B142"/>
    <mergeCell ref="A144:B144"/>
    <mergeCell ref="A108:B108"/>
    <mergeCell ref="A111:C111"/>
    <mergeCell ref="A118:B118"/>
    <mergeCell ref="A121:C121"/>
    <mergeCell ref="A131:B131"/>
    <mergeCell ref="A134:C134"/>
  </mergeCells>
  <pageMargins left="0.511811024" right="0.511811024" top="0.78740157499999996" bottom="0.78740157499999996" header="0.31496062000000002" footer="0.31496062000000002"/>
  <pageSetup paperSize="9" scale="8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147"/>
  <sheetViews>
    <sheetView view="pageBreakPreview" topLeftCell="A140" zoomScale="85" zoomScaleNormal="100" zoomScaleSheetLayoutView="85" workbookViewId="0">
      <selection sqref="A1:D147"/>
    </sheetView>
  </sheetViews>
  <sheetFormatPr defaultColWidth="9.140625" defaultRowHeight="15.75" x14ac:dyDescent="0.25"/>
  <cols>
    <col min="1" max="1" width="9.140625" style="24"/>
    <col min="2" max="2" width="72.7109375" style="24" customWidth="1"/>
    <col min="3" max="3" width="18" style="24" customWidth="1"/>
    <col min="4" max="4" width="14.28515625" style="24" customWidth="1"/>
    <col min="5" max="5" width="12.7109375" style="24" customWidth="1"/>
    <col min="6" max="6" width="12" style="24" customWidth="1"/>
    <col min="7" max="7" width="15.140625" style="24" customWidth="1"/>
    <col min="8" max="16384" width="9.140625" style="24"/>
  </cols>
  <sheetData>
    <row r="1" spans="1:4" ht="23.25" x14ac:dyDescent="0.35">
      <c r="A1" s="319" t="s">
        <v>74</v>
      </c>
      <c r="B1" s="319"/>
      <c r="C1" s="319"/>
      <c r="D1" s="319"/>
    </row>
    <row r="2" spans="1:4" ht="23.25" x14ac:dyDescent="0.35">
      <c r="A2" s="319" t="s">
        <v>75</v>
      </c>
      <c r="B2" s="319"/>
      <c r="C2" s="319"/>
      <c r="D2" s="319"/>
    </row>
    <row r="3" spans="1:4" x14ac:dyDescent="0.25">
      <c r="A3" s="320" t="s">
        <v>76</v>
      </c>
      <c r="B3" s="320"/>
      <c r="C3" s="320"/>
      <c r="D3" s="320"/>
    </row>
    <row r="4" spans="1:4" x14ac:dyDescent="0.25">
      <c r="A4" s="25"/>
      <c r="B4" s="25" t="s">
        <v>0</v>
      </c>
      <c r="C4" s="25" t="s">
        <v>5</v>
      </c>
      <c r="D4" s="26"/>
    </row>
    <row r="5" spans="1:4" x14ac:dyDescent="0.25">
      <c r="A5" s="26"/>
      <c r="B5" s="26"/>
      <c r="C5" s="25" t="s">
        <v>347</v>
      </c>
      <c r="D5" s="26"/>
    </row>
    <row r="6" spans="1:4" ht="32.25" thickBot="1" x14ac:dyDescent="0.3">
      <c r="A6" s="26"/>
      <c r="B6" s="25" t="s">
        <v>1</v>
      </c>
      <c r="C6" s="51" t="s">
        <v>348</v>
      </c>
      <c r="D6" s="26"/>
    </row>
    <row r="7" spans="1:4" ht="24.95" customHeight="1" x14ac:dyDescent="0.25">
      <c r="A7" s="329" t="s">
        <v>352</v>
      </c>
      <c r="B7" s="330"/>
      <c r="C7" s="331"/>
    </row>
    <row r="8" spans="1:4" ht="24.95" customHeight="1" thickBot="1" x14ac:dyDescent="0.3">
      <c r="A8" s="332" t="s">
        <v>353</v>
      </c>
      <c r="B8" s="333"/>
      <c r="C8" s="334"/>
    </row>
    <row r="9" spans="1:4" x14ac:dyDescent="0.25">
      <c r="A9" s="86"/>
      <c r="B9" s="86"/>
      <c r="C9" s="86"/>
    </row>
    <row r="10" spans="1:4" x14ac:dyDescent="0.25">
      <c r="A10" s="317" t="s">
        <v>198</v>
      </c>
      <c r="B10" s="317"/>
      <c r="C10" s="317"/>
    </row>
    <row r="11" spans="1:4" ht="16.5" thickBot="1" x14ac:dyDescent="0.3"/>
    <row r="12" spans="1:4" ht="16.5" thickBot="1" x14ac:dyDescent="0.3">
      <c r="A12" s="27">
        <v>1</v>
      </c>
      <c r="B12" s="28" t="s">
        <v>78</v>
      </c>
      <c r="C12" s="28" t="s">
        <v>79</v>
      </c>
    </row>
    <row r="13" spans="1:4" ht="16.5" thickBot="1" x14ac:dyDescent="0.3">
      <c r="A13" s="29" t="s">
        <v>80</v>
      </c>
      <c r="B13" s="30" t="s">
        <v>81</v>
      </c>
      <c r="C13" s="31">
        <v>1683.33</v>
      </c>
    </row>
    <row r="14" spans="1:4" ht="16.5" thickBot="1" x14ac:dyDescent="0.3">
      <c r="A14" s="29" t="s">
        <v>82</v>
      </c>
      <c r="B14" s="30" t="s">
        <v>83</v>
      </c>
      <c r="C14" s="31"/>
    </row>
    <row r="15" spans="1:4" ht="16.5" thickBot="1" x14ac:dyDescent="0.3">
      <c r="A15" s="29" t="s">
        <v>84</v>
      </c>
      <c r="B15" s="30" t="s">
        <v>85</v>
      </c>
      <c r="C15" s="31"/>
    </row>
    <row r="16" spans="1:4" ht="16.5" thickBot="1" x14ac:dyDescent="0.3">
      <c r="A16" s="29" t="s">
        <v>86</v>
      </c>
      <c r="B16" s="30" t="s">
        <v>87</v>
      </c>
      <c r="C16" s="31"/>
    </row>
    <row r="17" spans="1:4" ht="16.5" thickBot="1" x14ac:dyDescent="0.3">
      <c r="A17" s="29" t="s">
        <v>88</v>
      </c>
      <c r="B17" s="30" t="s">
        <v>89</v>
      </c>
      <c r="C17" s="31"/>
    </row>
    <row r="18" spans="1:4" ht="16.5" thickBot="1" x14ac:dyDescent="0.3">
      <c r="A18" s="29" t="s">
        <v>90</v>
      </c>
      <c r="B18" s="30" t="s">
        <v>91</v>
      </c>
      <c r="C18" s="31"/>
    </row>
    <row r="19" spans="1:4" ht="16.5" thickBot="1" x14ac:dyDescent="0.3">
      <c r="A19" s="29" t="s">
        <v>92</v>
      </c>
      <c r="B19" s="30" t="s">
        <v>93</v>
      </c>
      <c r="C19" s="31"/>
    </row>
    <row r="20" spans="1:4" ht="16.5" thickBot="1" x14ac:dyDescent="0.3">
      <c r="A20" s="315" t="s">
        <v>94</v>
      </c>
      <c r="B20" s="316"/>
      <c r="C20" s="32">
        <f>SUM(C13:C19)</f>
        <v>1683.33</v>
      </c>
    </row>
    <row r="23" spans="1:4" x14ac:dyDescent="0.25">
      <c r="A23" s="317" t="s">
        <v>95</v>
      </c>
      <c r="B23" s="317"/>
      <c r="C23" s="317"/>
    </row>
    <row r="24" spans="1:4" x14ac:dyDescent="0.25">
      <c r="A24" s="33"/>
    </row>
    <row r="25" spans="1:4" x14ac:dyDescent="0.25">
      <c r="A25" s="318" t="s">
        <v>96</v>
      </c>
      <c r="B25" s="318"/>
      <c r="C25" s="318"/>
    </row>
    <row r="26" spans="1:4" ht="16.5" thickBot="1" x14ac:dyDescent="0.3"/>
    <row r="27" spans="1:4" ht="16.5" thickBot="1" x14ac:dyDescent="0.3">
      <c r="A27" s="27" t="s">
        <v>97</v>
      </c>
      <c r="B27" s="28" t="s">
        <v>98</v>
      </c>
      <c r="C27" s="28" t="s">
        <v>79</v>
      </c>
      <c r="D27" s="28" t="s">
        <v>79</v>
      </c>
    </row>
    <row r="28" spans="1:4" ht="16.5" thickBot="1" x14ac:dyDescent="0.3">
      <c r="A28" s="29" t="s">
        <v>80</v>
      </c>
      <c r="B28" s="30" t="s">
        <v>99</v>
      </c>
      <c r="C28" s="77">
        <v>8.3299999999999999E-2</v>
      </c>
      <c r="D28" s="31">
        <f>ROUND(C$20*C28,2)</f>
        <v>140.22</v>
      </c>
    </row>
    <row r="29" spans="1:4" ht="16.5" thickBot="1" x14ac:dyDescent="0.3">
      <c r="A29" s="29" t="s">
        <v>82</v>
      </c>
      <c r="B29" s="30" t="s">
        <v>100</v>
      </c>
      <c r="C29" s="77">
        <v>0.121</v>
      </c>
      <c r="D29" s="31">
        <f>ROUND(C$20*C29,2)</f>
        <v>203.68</v>
      </c>
    </row>
    <row r="30" spans="1:4" ht="16.5" thickBot="1" x14ac:dyDescent="0.3">
      <c r="A30" s="315" t="s">
        <v>101</v>
      </c>
      <c r="B30" s="316"/>
      <c r="C30" s="77">
        <f>C29+C28</f>
        <v>0.20429999999999998</v>
      </c>
      <c r="D30" s="31">
        <f>D29+D28</f>
        <v>343.9</v>
      </c>
    </row>
    <row r="31" spans="1:4" ht="16.5" customHeight="1" thickBot="1" x14ac:dyDescent="0.3">
      <c r="A31" s="315" t="s">
        <v>102</v>
      </c>
      <c r="B31" s="324"/>
      <c r="C31" s="316"/>
      <c r="D31" s="31">
        <f>ROUND(D30*C45,2)</f>
        <v>126.56</v>
      </c>
    </row>
    <row r="32" spans="1:4" ht="16.5" thickBot="1" x14ac:dyDescent="0.3">
      <c r="A32" s="315" t="s">
        <v>94</v>
      </c>
      <c r="B32" s="324"/>
      <c r="C32" s="316"/>
      <c r="D32" s="31">
        <f>D31+D30</f>
        <v>470.46</v>
      </c>
    </row>
    <row r="34" spans="1:4" ht="32.25" customHeight="1" x14ac:dyDescent="0.25">
      <c r="A34" s="325" t="s">
        <v>103</v>
      </c>
      <c r="B34" s="325"/>
      <c r="C34" s="325"/>
      <c r="D34" s="325"/>
    </row>
    <row r="35" spans="1:4" ht="16.5" thickBot="1" x14ac:dyDescent="0.3"/>
    <row r="36" spans="1:4" ht="16.5" thickBot="1" x14ac:dyDescent="0.3">
      <c r="A36" s="27" t="s">
        <v>104</v>
      </c>
      <c r="B36" s="28" t="s">
        <v>105</v>
      </c>
      <c r="C36" s="28" t="s">
        <v>106</v>
      </c>
      <c r="D36" s="28" t="s">
        <v>79</v>
      </c>
    </row>
    <row r="37" spans="1:4" ht="16.5" thickBot="1" x14ac:dyDescent="0.3">
      <c r="A37" s="29" t="s">
        <v>80</v>
      </c>
      <c r="B37" s="30" t="s">
        <v>107</v>
      </c>
      <c r="C37" s="34">
        <v>0.2</v>
      </c>
      <c r="D37" s="31">
        <f>C37*$C$20</f>
        <v>336.666</v>
      </c>
    </row>
    <row r="38" spans="1:4" ht="16.5" thickBot="1" x14ac:dyDescent="0.3">
      <c r="A38" s="29" t="s">
        <v>82</v>
      </c>
      <c r="B38" s="30" t="s">
        <v>108</v>
      </c>
      <c r="C38" s="34">
        <v>2.5000000000000001E-2</v>
      </c>
      <c r="D38" s="31">
        <f t="shared" ref="D38:D43" si="0">C38*$C$20</f>
        <v>42.08325</v>
      </c>
    </row>
    <row r="39" spans="1:4" ht="16.5" thickBot="1" x14ac:dyDescent="0.3">
      <c r="A39" s="29" t="s">
        <v>84</v>
      </c>
      <c r="B39" s="30" t="s">
        <v>109</v>
      </c>
      <c r="C39" s="34">
        <v>0.03</v>
      </c>
      <c r="D39" s="31">
        <f t="shared" si="0"/>
        <v>50.499899999999997</v>
      </c>
    </row>
    <row r="40" spans="1:4" ht="16.5" thickBot="1" x14ac:dyDescent="0.3">
      <c r="A40" s="29" t="s">
        <v>86</v>
      </c>
      <c r="B40" s="30" t="s">
        <v>110</v>
      </c>
      <c r="C40" s="34">
        <v>1.4999999999999999E-2</v>
      </c>
      <c r="D40" s="31">
        <f t="shared" si="0"/>
        <v>25.249949999999998</v>
      </c>
    </row>
    <row r="41" spans="1:4" ht="16.5" thickBot="1" x14ac:dyDescent="0.3">
      <c r="A41" s="29" t="s">
        <v>88</v>
      </c>
      <c r="B41" s="30" t="s">
        <v>111</v>
      </c>
      <c r="C41" s="34">
        <v>0.01</v>
      </c>
      <c r="D41" s="31">
        <f t="shared" si="0"/>
        <v>16.833300000000001</v>
      </c>
    </row>
    <row r="42" spans="1:4" ht="16.5" thickBot="1" x14ac:dyDescent="0.3">
      <c r="A42" s="29" t="s">
        <v>112</v>
      </c>
      <c r="B42" s="30" t="s">
        <v>113</v>
      </c>
      <c r="C42" s="34">
        <v>6.0000000000000001E-3</v>
      </c>
      <c r="D42" s="31">
        <f t="shared" si="0"/>
        <v>10.09998</v>
      </c>
    </row>
    <row r="43" spans="1:4" ht="16.5" thickBot="1" x14ac:dyDescent="0.3">
      <c r="A43" s="29" t="s">
        <v>92</v>
      </c>
      <c r="B43" s="30" t="s">
        <v>114</v>
      </c>
      <c r="C43" s="34">
        <v>2E-3</v>
      </c>
      <c r="D43" s="31">
        <f t="shared" si="0"/>
        <v>3.36666</v>
      </c>
    </row>
    <row r="44" spans="1:4" ht="16.5" thickBot="1" x14ac:dyDescent="0.3">
      <c r="A44" s="29" t="s">
        <v>115</v>
      </c>
      <c r="B44" s="30" t="s">
        <v>116</v>
      </c>
      <c r="C44" s="34">
        <v>0.08</v>
      </c>
      <c r="D44" s="31">
        <f>C44*$C$20</f>
        <v>134.66640000000001</v>
      </c>
    </row>
    <row r="45" spans="1:4" ht="16.5" thickBot="1" x14ac:dyDescent="0.3">
      <c r="A45" s="315" t="s">
        <v>117</v>
      </c>
      <c r="B45" s="316"/>
      <c r="C45" s="34">
        <f>SUM(C37:C44)</f>
        <v>0.36800000000000005</v>
      </c>
      <c r="D45" s="31">
        <f>SUM(D37:D44)</f>
        <v>619.46544000000006</v>
      </c>
    </row>
    <row r="48" spans="1:4" x14ac:dyDescent="0.25">
      <c r="A48" s="318" t="s">
        <v>118</v>
      </c>
      <c r="B48" s="318"/>
      <c r="C48" s="318"/>
    </row>
    <row r="49" spans="1:3" ht="16.5" thickBot="1" x14ac:dyDescent="0.3"/>
    <row r="50" spans="1:3" ht="16.5" thickBot="1" x14ac:dyDescent="0.3">
      <c r="A50" s="27" t="s">
        <v>119</v>
      </c>
      <c r="B50" s="28" t="s">
        <v>120</v>
      </c>
      <c r="C50" s="28" t="s">
        <v>79</v>
      </c>
    </row>
    <row r="51" spans="1:3" ht="16.5" thickBot="1" x14ac:dyDescent="0.3">
      <c r="A51" s="29" t="s">
        <v>80</v>
      </c>
      <c r="B51" s="30" t="s">
        <v>121</v>
      </c>
      <c r="C51" s="31">
        <f>(52*'Novo Simulador'!C20)-(C20*6%)</f>
        <v>133.00020000000001</v>
      </c>
    </row>
    <row r="52" spans="1:3" ht="16.5" thickBot="1" x14ac:dyDescent="0.3">
      <c r="A52" s="29" t="s">
        <v>82</v>
      </c>
      <c r="B52" s="30" t="s">
        <v>122</v>
      </c>
      <c r="C52" s="31">
        <f>227.05-(227.05*0.2)</f>
        <v>181.64000000000001</v>
      </c>
    </row>
    <row r="53" spans="1:3" ht="16.5" thickBot="1" x14ac:dyDescent="0.3">
      <c r="A53" s="29" t="s">
        <v>84</v>
      </c>
      <c r="B53" s="30" t="s">
        <v>200</v>
      </c>
      <c r="C53" s="31">
        <v>15</v>
      </c>
    </row>
    <row r="54" spans="1:3" ht="16.5" thickBot="1" x14ac:dyDescent="0.3">
      <c r="A54" s="29" t="s">
        <v>86</v>
      </c>
      <c r="B54" s="30" t="s">
        <v>199</v>
      </c>
      <c r="C54" s="31">
        <v>128.35</v>
      </c>
    </row>
    <row r="55" spans="1:3" ht="16.5" thickBot="1" x14ac:dyDescent="0.3">
      <c r="A55" s="29" t="s">
        <v>88</v>
      </c>
      <c r="B55" s="30" t="s">
        <v>201</v>
      </c>
      <c r="C55" s="55">
        <v>0.61</v>
      </c>
    </row>
    <row r="56" spans="1:3" ht="16.5" thickBot="1" x14ac:dyDescent="0.3">
      <c r="A56" s="315" t="s">
        <v>94</v>
      </c>
      <c r="B56" s="316"/>
      <c r="C56" s="31">
        <f>SUM(C51:C55)</f>
        <v>458.60020000000009</v>
      </c>
    </row>
    <row r="59" spans="1:3" x14ac:dyDescent="0.25">
      <c r="A59" s="318" t="s">
        <v>124</v>
      </c>
      <c r="B59" s="318"/>
      <c r="C59" s="318"/>
    </row>
    <row r="60" spans="1:3" ht="16.5" thickBot="1" x14ac:dyDescent="0.3"/>
    <row r="61" spans="1:3" ht="16.5" thickBot="1" x14ac:dyDescent="0.3">
      <c r="A61" s="27">
        <v>2</v>
      </c>
      <c r="B61" s="28" t="s">
        <v>125</v>
      </c>
      <c r="C61" s="28" t="s">
        <v>79</v>
      </c>
    </row>
    <row r="62" spans="1:3" ht="16.5" thickBot="1" x14ac:dyDescent="0.3">
      <c r="A62" s="29" t="s">
        <v>97</v>
      </c>
      <c r="B62" s="30" t="s">
        <v>98</v>
      </c>
      <c r="C62" s="31">
        <f>D32</f>
        <v>470.46</v>
      </c>
    </row>
    <row r="63" spans="1:3" ht="16.5" thickBot="1" x14ac:dyDescent="0.3">
      <c r="A63" s="29" t="s">
        <v>104</v>
      </c>
      <c r="B63" s="30" t="s">
        <v>105</v>
      </c>
      <c r="C63" s="31">
        <f>D45</f>
        <v>619.46544000000006</v>
      </c>
    </row>
    <row r="64" spans="1:3" ht="16.5" thickBot="1" x14ac:dyDescent="0.3">
      <c r="A64" s="29" t="s">
        <v>119</v>
      </c>
      <c r="B64" s="30" t="s">
        <v>120</v>
      </c>
      <c r="C64" s="31">
        <f>C56</f>
        <v>458.60020000000009</v>
      </c>
    </row>
    <row r="65" spans="1:4" ht="16.5" thickBot="1" x14ac:dyDescent="0.3">
      <c r="A65" s="315" t="s">
        <v>94</v>
      </c>
      <c r="B65" s="316"/>
      <c r="C65" s="31">
        <f>SUM(C62:C64)</f>
        <v>1548.5256400000001</v>
      </c>
    </row>
    <row r="66" spans="1:4" x14ac:dyDescent="0.25">
      <c r="A66" s="35"/>
    </row>
    <row r="68" spans="1:4" x14ac:dyDescent="0.25">
      <c r="A68" s="317" t="s">
        <v>126</v>
      </c>
      <c r="B68" s="317"/>
      <c r="C68" s="317"/>
    </row>
    <row r="69" spans="1:4" ht="16.5" thickBot="1" x14ac:dyDescent="0.3"/>
    <row r="70" spans="1:4" ht="16.5" thickBot="1" x14ac:dyDescent="0.3">
      <c r="A70" s="27">
        <v>3</v>
      </c>
      <c r="B70" s="28" t="s">
        <v>127</v>
      </c>
      <c r="C70" s="28" t="s">
        <v>106</v>
      </c>
      <c r="D70" s="28" t="s">
        <v>79</v>
      </c>
    </row>
    <row r="71" spans="1:4" ht="16.5" thickBot="1" x14ac:dyDescent="0.3">
      <c r="A71" s="29" t="s">
        <v>80</v>
      </c>
      <c r="B71" s="36" t="s">
        <v>56</v>
      </c>
      <c r="C71" s="82">
        <v>4.1700000000000001E-3</v>
      </c>
      <c r="D71" s="31">
        <f t="shared" ref="D71:D76" si="1">C71*($C$20+$C$62)</f>
        <v>8.9813042999999997</v>
      </c>
    </row>
    <row r="72" spans="1:4" ht="16.5" thickBot="1" x14ac:dyDescent="0.3">
      <c r="A72" s="29" t="s">
        <v>82</v>
      </c>
      <c r="B72" s="36" t="s">
        <v>128</v>
      </c>
      <c r="C72" s="82">
        <v>2.9999999999999997E-4</v>
      </c>
      <c r="D72" s="31">
        <f t="shared" si="1"/>
        <v>0.64613699999999996</v>
      </c>
    </row>
    <row r="73" spans="1:4" ht="16.5" thickBot="1" x14ac:dyDescent="0.3">
      <c r="A73" s="29" t="s">
        <v>84</v>
      </c>
      <c r="B73" s="36" t="s">
        <v>67</v>
      </c>
      <c r="C73" s="83">
        <v>0.04</v>
      </c>
      <c r="D73" s="31">
        <f t="shared" si="1"/>
        <v>86.151600000000002</v>
      </c>
    </row>
    <row r="74" spans="1:4" ht="16.5" thickBot="1" x14ac:dyDescent="0.3">
      <c r="A74" s="29" t="s">
        <v>86</v>
      </c>
      <c r="B74" s="36" t="s">
        <v>129</v>
      </c>
      <c r="C74" s="83">
        <v>1.9439999999999999E-2</v>
      </c>
      <c r="D74" s="31">
        <f t="shared" si="1"/>
        <v>41.869677599999996</v>
      </c>
    </row>
    <row r="75" spans="1:4" ht="32.25" thickBot="1" x14ac:dyDescent="0.3">
      <c r="A75" s="29" t="s">
        <v>88</v>
      </c>
      <c r="B75" s="36" t="s">
        <v>130</v>
      </c>
      <c r="C75" s="83">
        <v>7.1999999999999998E-3</v>
      </c>
      <c r="D75" s="31">
        <f t="shared" si="1"/>
        <v>15.507287999999999</v>
      </c>
    </row>
    <row r="76" spans="1:4" ht="16.5" thickBot="1" x14ac:dyDescent="0.3">
      <c r="A76" s="29" t="s">
        <v>112</v>
      </c>
      <c r="B76" s="36" t="s">
        <v>349</v>
      </c>
      <c r="C76" s="83">
        <v>5.3E-3</v>
      </c>
      <c r="D76" s="31">
        <f t="shared" si="1"/>
        <v>11.415087</v>
      </c>
    </row>
    <row r="77" spans="1:4" ht="16.5" thickBot="1" x14ac:dyDescent="0.3">
      <c r="A77" s="315" t="s">
        <v>94</v>
      </c>
      <c r="B77" s="316"/>
      <c r="C77" s="84">
        <f>SUM(C71:C76)</f>
        <v>7.6409999999999992E-2</v>
      </c>
      <c r="D77" s="31">
        <f>SUM(D71:D76)</f>
        <v>164.57109389999999</v>
      </c>
    </row>
    <row r="80" spans="1:4" x14ac:dyDescent="0.25">
      <c r="A80" s="317" t="s">
        <v>131</v>
      </c>
      <c r="B80" s="317"/>
      <c r="C80" s="317"/>
    </row>
    <row r="83" spans="1:4" x14ac:dyDescent="0.25">
      <c r="A83" s="318" t="s">
        <v>132</v>
      </c>
      <c r="B83" s="318"/>
      <c r="C83" s="318"/>
    </row>
    <row r="84" spans="1:4" ht="16.5" thickBot="1" x14ac:dyDescent="0.3">
      <c r="A84" s="33"/>
    </row>
    <row r="85" spans="1:4" ht="16.5" thickBot="1" x14ac:dyDescent="0.3">
      <c r="A85" s="27" t="s">
        <v>133</v>
      </c>
      <c r="B85" s="28" t="s">
        <v>134</v>
      </c>
      <c r="C85" s="28" t="s">
        <v>106</v>
      </c>
      <c r="D85" s="28" t="s">
        <v>79</v>
      </c>
    </row>
    <row r="86" spans="1:4" ht="16.5" thickBot="1" x14ac:dyDescent="0.3">
      <c r="A86" s="29" t="s">
        <v>80</v>
      </c>
      <c r="B86" s="30" t="s">
        <v>69</v>
      </c>
      <c r="C86" s="73">
        <v>1.6199999999999999E-2</v>
      </c>
      <c r="D86" s="31">
        <f>C86*$C$20</f>
        <v>27.269945999999997</v>
      </c>
    </row>
    <row r="87" spans="1:4" ht="16.5" thickBot="1" x14ac:dyDescent="0.3">
      <c r="A87" s="29" t="s">
        <v>82</v>
      </c>
      <c r="B87" s="30" t="s">
        <v>70</v>
      </c>
      <c r="C87" s="76">
        <v>8.2000000000000007E-3</v>
      </c>
      <c r="D87" s="31">
        <f t="shared" ref="D87:D91" si="2">C87*$C$20</f>
        <v>13.803306000000001</v>
      </c>
    </row>
    <row r="88" spans="1:4" ht="16.5" thickBot="1" x14ac:dyDescent="0.3">
      <c r="A88" s="29" t="s">
        <v>84</v>
      </c>
      <c r="B88" s="30" t="s">
        <v>71</v>
      </c>
      <c r="C88" s="76">
        <v>2.1000000000000001E-4</v>
      </c>
      <c r="D88" s="31">
        <f t="shared" si="2"/>
        <v>0.35349930000000002</v>
      </c>
    </row>
    <row r="89" spans="1:4" ht="16.5" thickBot="1" x14ac:dyDescent="0.3">
      <c r="A89" s="29" t="s">
        <v>86</v>
      </c>
      <c r="B89" s="30" t="s">
        <v>72</v>
      </c>
      <c r="C89" s="76">
        <v>2.9999999999999997E-4</v>
      </c>
      <c r="D89" s="31">
        <f t="shared" si="2"/>
        <v>0.50499899999999998</v>
      </c>
    </row>
    <row r="90" spans="1:4" ht="16.5" thickBot="1" x14ac:dyDescent="0.3">
      <c r="A90" s="29" t="s">
        <v>88</v>
      </c>
      <c r="B90" s="30" t="s">
        <v>73</v>
      </c>
      <c r="C90" s="76">
        <f>ROUND(((1+1/3)/12)*(4/12)*0.02,4)</f>
        <v>6.9999999999999999E-4</v>
      </c>
      <c r="D90" s="31">
        <f t="shared" si="2"/>
        <v>1.178331</v>
      </c>
    </row>
    <row r="91" spans="1:4" ht="16.5" thickBot="1" x14ac:dyDescent="0.3">
      <c r="A91" s="29" t="s">
        <v>112</v>
      </c>
      <c r="B91" s="30" t="s">
        <v>135</v>
      </c>
      <c r="C91" s="76">
        <v>0</v>
      </c>
      <c r="D91" s="31">
        <f t="shared" si="2"/>
        <v>0</v>
      </c>
    </row>
    <row r="92" spans="1:4" ht="16.5" thickBot="1" x14ac:dyDescent="0.3">
      <c r="A92" s="315" t="s">
        <v>117</v>
      </c>
      <c r="B92" s="316"/>
      <c r="C92" s="34">
        <f>SUM(C86:C91)</f>
        <v>2.5609999999999997E-2</v>
      </c>
      <c r="D92" s="31">
        <f>SUM(D86:D91)</f>
        <v>43.110081299999997</v>
      </c>
    </row>
    <row r="95" spans="1:4" x14ac:dyDescent="0.25">
      <c r="A95" s="318" t="s">
        <v>136</v>
      </c>
      <c r="B95" s="318"/>
      <c r="C95" s="318"/>
    </row>
    <row r="96" spans="1:4" ht="16.5" thickBot="1" x14ac:dyDescent="0.3">
      <c r="A96" s="33"/>
    </row>
    <row r="97" spans="1:4" ht="16.5" thickBot="1" x14ac:dyDescent="0.3">
      <c r="A97" s="27" t="s">
        <v>137</v>
      </c>
      <c r="B97" s="28" t="s">
        <v>138</v>
      </c>
      <c r="C97" s="28" t="s">
        <v>106</v>
      </c>
      <c r="D97" s="28" t="s">
        <v>79</v>
      </c>
    </row>
    <row r="98" spans="1:4" ht="16.5" thickBot="1" x14ac:dyDescent="0.3">
      <c r="A98" s="29" t="s">
        <v>80</v>
      </c>
      <c r="B98" s="30" t="s">
        <v>139</v>
      </c>
      <c r="C98" s="39">
        <v>0</v>
      </c>
      <c r="D98" s="31">
        <f>C20*C98</f>
        <v>0</v>
      </c>
    </row>
    <row r="99" spans="1:4" ht="16.5" thickBot="1" x14ac:dyDescent="0.3">
      <c r="A99" s="315" t="s">
        <v>94</v>
      </c>
      <c r="B99" s="316"/>
      <c r="C99" s="39">
        <f>C98</f>
        <v>0</v>
      </c>
      <c r="D99" s="31">
        <f>D98</f>
        <v>0</v>
      </c>
    </row>
    <row r="102" spans="1:4" x14ac:dyDescent="0.25">
      <c r="A102" s="318" t="s">
        <v>140</v>
      </c>
      <c r="B102" s="318"/>
      <c r="C102" s="318"/>
    </row>
    <row r="103" spans="1:4" ht="16.5" thickBot="1" x14ac:dyDescent="0.3">
      <c r="A103" s="33"/>
    </row>
    <row r="104" spans="1:4" ht="16.5" thickBot="1" x14ac:dyDescent="0.3">
      <c r="A104" s="27">
        <v>4</v>
      </c>
      <c r="B104" s="28" t="s">
        <v>141</v>
      </c>
      <c r="C104" s="28" t="s">
        <v>79</v>
      </c>
    </row>
    <row r="105" spans="1:4" ht="16.5" thickBot="1" x14ac:dyDescent="0.3">
      <c r="A105" s="29" t="s">
        <v>133</v>
      </c>
      <c r="B105" s="30" t="s">
        <v>142</v>
      </c>
      <c r="C105" s="31">
        <f>D92</f>
        <v>43.110081299999997</v>
      </c>
      <c r="D105" s="49"/>
    </row>
    <row r="106" spans="1:4" ht="16.5" thickBot="1" x14ac:dyDescent="0.3">
      <c r="A106" s="29" t="s">
        <v>137</v>
      </c>
      <c r="B106" s="30" t="s">
        <v>143</v>
      </c>
      <c r="C106" s="31">
        <f>D99</f>
        <v>0</v>
      </c>
      <c r="D106" s="49"/>
    </row>
    <row r="107" spans="1:4" ht="36.75" customHeight="1" thickBot="1" x14ac:dyDescent="0.3">
      <c r="A107" s="40" t="s">
        <v>80</v>
      </c>
      <c r="B107" s="30" t="s">
        <v>144</v>
      </c>
      <c r="C107" s="31">
        <f>(C105+C106)*C45</f>
        <v>15.864509918400001</v>
      </c>
      <c r="D107" s="49"/>
    </row>
    <row r="108" spans="1:4" ht="16.5" thickBot="1" x14ac:dyDescent="0.3">
      <c r="A108" s="315" t="s">
        <v>94</v>
      </c>
      <c r="B108" s="316"/>
      <c r="C108" s="31">
        <f>SUM(C105:C107)</f>
        <v>58.974591218400001</v>
      </c>
      <c r="D108" s="49"/>
    </row>
    <row r="111" spans="1:4" x14ac:dyDescent="0.25">
      <c r="A111" s="317" t="s">
        <v>145</v>
      </c>
      <c r="B111" s="317"/>
      <c r="C111" s="317"/>
    </row>
    <row r="112" spans="1:4" ht="16.5" thickBot="1" x14ac:dyDescent="0.3"/>
    <row r="113" spans="1:4" ht="16.5" thickBot="1" x14ac:dyDescent="0.3">
      <c r="A113" s="27">
        <v>5</v>
      </c>
      <c r="B113" s="41" t="s">
        <v>146</v>
      </c>
      <c r="C113" s="28" t="s">
        <v>79</v>
      </c>
    </row>
    <row r="114" spans="1:4" ht="16.5" thickBot="1" x14ac:dyDescent="0.3">
      <c r="A114" s="29" t="s">
        <v>80</v>
      </c>
      <c r="B114" s="30" t="s">
        <v>203</v>
      </c>
      <c r="C114" s="55">
        <f>Fardamento!F13</f>
        <v>85.55749999999999</v>
      </c>
    </row>
    <row r="115" spans="1:4" ht="16.5" thickBot="1" x14ac:dyDescent="0.3">
      <c r="A115" s="29" t="s">
        <v>82</v>
      </c>
      <c r="B115" s="30" t="s">
        <v>3</v>
      </c>
      <c r="C115" s="55"/>
    </row>
    <row r="116" spans="1:4" ht="16.5" thickBot="1" x14ac:dyDescent="0.3">
      <c r="A116" s="29" t="s">
        <v>84</v>
      </c>
      <c r="B116" s="30" t="s">
        <v>147</v>
      </c>
      <c r="C116" s="55"/>
    </row>
    <row r="117" spans="1:4" ht="16.5" thickBot="1" x14ac:dyDescent="0.3">
      <c r="A117" s="29" t="s">
        <v>86</v>
      </c>
      <c r="B117" s="30" t="s">
        <v>192</v>
      </c>
      <c r="C117" s="55"/>
    </row>
    <row r="118" spans="1:4" ht="16.5" thickBot="1" x14ac:dyDescent="0.3">
      <c r="A118" s="315" t="s">
        <v>117</v>
      </c>
      <c r="B118" s="316"/>
      <c r="C118" s="55">
        <f>SUM(C114:C117)</f>
        <v>85.55749999999999</v>
      </c>
    </row>
    <row r="121" spans="1:4" x14ac:dyDescent="0.25">
      <c r="A121" s="317" t="s">
        <v>148</v>
      </c>
      <c r="B121" s="317"/>
      <c r="C121" s="317"/>
    </row>
    <row r="122" spans="1:4" ht="16.5" thickBot="1" x14ac:dyDescent="0.3"/>
    <row r="123" spans="1:4" ht="16.5" thickBot="1" x14ac:dyDescent="0.3">
      <c r="A123" s="27">
        <v>6</v>
      </c>
      <c r="B123" s="41" t="s">
        <v>149</v>
      </c>
      <c r="C123" s="28" t="s">
        <v>106</v>
      </c>
      <c r="D123" s="28" t="s">
        <v>79</v>
      </c>
    </row>
    <row r="124" spans="1:4" ht="16.5" thickBot="1" x14ac:dyDescent="0.3">
      <c r="A124" s="29" t="s">
        <v>80</v>
      </c>
      <c r="B124" s="30" t="s">
        <v>33</v>
      </c>
      <c r="C124" s="73">
        <v>0.03</v>
      </c>
      <c r="D124" s="31">
        <f>C124*C142</f>
        <v>106.22876475355199</v>
      </c>
    </row>
    <row r="125" spans="1:4" ht="16.5" thickBot="1" x14ac:dyDescent="0.3">
      <c r="A125" s="29" t="s">
        <v>82</v>
      </c>
      <c r="B125" s="30" t="s">
        <v>34</v>
      </c>
      <c r="C125" s="73">
        <v>6.7900000000000002E-2</v>
      </c>
      <c r="D125" s="55">
        <f>(D124+C142)*C125</f>
        <v>247.6440373523055</v>
      </c>
    </row>
    <row r="126" spans="1:4" ht="16.5" thickBot="1" x14ac:dyDescent="0.3">
      <c r="A126" s="29" t="s">
        <v>84</v>
      </c>
      <c r="B126" s="30" t="s">
        <v>4</v>
      </c>
      <c r="C126" s="34">
        <f>SUM(C127:C130)</f>
        <v>8.6499999999999994E-2</v>
      </c>
      <c r="D126" s="55">
        <f>((D124+D125+C142)/(100%-C126)) - (D124+D125+C142)</f>
        <v>368.80452737263067</v>
      </c>
    </row>
    <row r="127" spans="1:4" ht="16.5" thickBot="1" x14ac:dyDescent="0.3">
      <c r="A127" s="29"/>
      <c r="B127" s="42" t="s">
        <v>412</v>
      </c>
      <c r="C127" s="50">
        <v>6.4999999999999997E-3</v>
      </c>
      <c r="D127" s="43"/>
    </row>
    <row r="128" spans="1:4" ht="16.5" thickBot="1" x14ac:dyDescent="0.3">
      <c r="A128" s="29"/>
      <c r="B128" s="42" t="s">
        <v>413</v>
      </c>
      <c r="C128" s="50">
        <v>0.03</v>
      </c>
      <c r="D128" s="43"/>
    </row>
    <row r="129" spans="1:4" ht="16.5" thickBot="1" x14ac:dyDescent="0.3">
      <c r="A129" s="29"/>
      <c r="B129" s="42" t="s">
        <v>151</v>
      </c>
      <c r="C129" s="50">
        <v>0</v>
      </c>
      <c r="D129" s="43"/>
    </row>
    <row r="130" spans="1:4" ht="16.5" thickBot="1" x14ac:dyDescent="0.3">
      <c r="A130" s="29"/>
      <c r="B130" s="42" t="s">
        <v>152</v>
      </c>
      <c r="C130" s="44">
        <v>0.05</v>
      </c>
      <c r="D130" s="43"/>
    </row>
    <row r="131" spans="1:4" ht="16.5" thickBot="1" x14ac:dyDescent="0.3">
      <c r="A131" s="315" t="s">
        <v>117</v>
      </c>
      <c r="B131" s="316"/>
      <c r="C131" s="34"/>
      <c r="D131" s="31">
        <f>D124+D125+D126</f>
        <v>722.67732947848822</v>
      </c>
    </row>
    <row r="134" spans="1:4" x14ac:dyDescent="0.25">
      <c r="A134" s="317" t="s">
        <v>153</v>
      </c>
      <c r="B134" s="317"/>
      <c r="C134" s="317"/>
    </row>
    <row r="135" spans="1:4" ht="16.5" thickBot="1" x14ac:dyDescent="0.3"/>
    <row r="136" spans="1:4" ht="16.5" thickBot="1" x14ac:dyDescent="0.3">
      <c r="A136" s="27"/>
      <c r="B136" s="28" t="s">
        <v>154</v>
      </c>
      <c r="C136" s="28" t="s">
        <v>79</v>
      </c>
    </row>
    <row r="137" spans="1:4" ht="16.5" thickBot="1" x14ac:dyDescent="0.3">
      <c r="A137" s="45" t="s">
        <v>80</v>
      </c>
      <c r="B137" s="30" t="s">
        <v>77</v>
      </c>
      <c r="C137" s="46">
        <f>C20</f>
        <v>1683.33</v>
      </c>
    </row>
    <row r="138" spans="1:4" ht="16.5" thickBot="1" x14ac:dyDescent="0.3">
      <c r="A138" s="45" t="s">
        <v>82</v>
      </c>
      <c r="B138" s="30" t="s">
        <v>95</v>
      </c>
      <c r="C138" s="46">
        <f>C65</f>
        <v>1548.5256400000001</v>
      </c>
    </row>
    <row r="139" spans="1:4" ht="16.5" thickBot="1" x14ac:dyDescent="0.3">
      <c r="A139" s="45" t="s">
        <v>84</v>
      </c>
      <c r="B139" s="30" t="s">
        <v>126</v>
      </c>
      <c r="C139" s="46">
        <f>D77</f>
        <v>164.57109389999999</v>
      </c>
    </row>
    <row r="140" spans="1:4" ht="16.5" thickBot="1" x14ac:dyDescent="0.3">
      <c r="A140" s="45" t="s">
        <v>86</v>
      </c>
      <c r="B140" s="30" t="s">
        <v>131</v>
      </c>
      <c r="C140" s="47">
        <f>C108</f>
        <v>58.974591218400001</v>
      </c>
    </row>
    <row r="141" spans="1:4" ht="16.5" thickBot="1" x14ac:dyDescent="0.3">
      <c r="A141" s="45" t="s">
        <v>88</v>
      </c>
      <c r="B141" s="30" t="s">
        <v>145</v>
      </c>
      <c r="C141" s="46">
        <f>C118</f>
        <v>85.55749999999999</v>
      </c>
    </row>
    <row r="142" spans="1:4" ht="16.5" thickBot="1" x14ac:dyDescent="0.3">
      <c r="A142" s="315" t="s">
        <v>155</v>
      </c>
      <c r="B142" s="316"/>
      <c r="C142" s="46">
        <f>SUM(C137:C141)</f>
        <v>3540.9588251183995</v>
      </c>
    </row>
    <row r="143" spans="1:4" ht="16.5" thickBot="1" x14ac:dyDescent="0.3">
      <c r="A143" s="45" t="s">
        <v>112</v>
      </c>
      <c r="B143" s="30" t="s">
        <v>156</v>
      </c>
      <c r="C143" s="46">
        <f>D131</f>
        <v>722.67732947848822</v>
      </c>
    </row>
    <row r="144" spans="1:4" ht="16.5" thickBot="1" x14ac:dyDescent="0.3">
      <c r="A144" s="315" t="s">
        <v>157</v>
      </c>
      <c r="B144" s="316"/>
      <c r="C144" s="46">
        <f>C143+C142</f>
        <v>4263.6361545968875</v>
      </c>
    </row>
    <row r="146" spans="1:4" x14ac:dyDescent="0.25">
      <c r="A146" s="335" t="s">
        <v>204</v>
      </c>
      <c r="B146" s="335"/>
      <c r="C146" s="335"/>
      <c r="D146" s="335"/>
    </row>
    <row r="147" spans="1:4" ht="36" customHeight="1" x14ac:dyDescent="0.25">
      <c r="A147" s="335"/>
      <c r="B147" s="335"/>
      <c r="C147" s="335"/>
      <c r="D147" s="335"/>
    </row>
  </sheetData>
  <mergeCells count="35">
    <mergeCell ref="A45:B45"/>
    <mergeCell ref="A1:D1"/>
    <mergeCell ref="A2:D2"/>
    <mergeCell ref="A3:D3"/>
    <mergeCell ref="A10:C10"/>
    <mergeCell ref="A20:B20"/>
    <mergeCell ref="A23:C23"/>
    <mergeCell ref="A25:C25"/>
    <mergeCell ref="A30:B30"/>
    <mergeCell ref="A34:D34"/>
    <mergeCell ref="A31:C31"/>
    <mergeCell ref="A32:C32"/>
    <mergeCell ref="A8:C8"/>
    <mergeCell ref="A7:C7"/>
    <mergeCell ref="A102:C102"/>
    <mergeCell ref="A48:C48"/>
    <mergeCell ref="A56:B56"/>
    <mergeCell ref="A59:C59"/>
    <mergeCell ref="A65:B65"/>
    <mergeCell ref="A68:C68"/>
    <mergeCell ref="A77:B77"/>
    <mergeCell ref="A80:C80"/>
    <mergeCell ref="A83:C83"/>
    <mergeCell ref="A92:B92"/>
    <mergeCell ref="A95:C95"/>
    <mergeCell ref="A99:B99"/>
    <mergeCell ref="A146:D147"/>
    <mergeCell ref="A142:B142"/>
    <mergeCell ref="A144:B144"/>
    <mergeCell ref="A108:B108"/>
    <mergeCell ref="A111:C111"/>
    <mergeCell ref="A118:B118"/>
    <mergeCell ref="A121:C121"/>
    <mergeCell ref="A131:B131"/>
    <mergeCell ref="A134:C134"/>
  </mergeCells>
  <pageMargins left="0.511811024" right="0.511811024" top="0.78740157499999996" bottom="0.78740157499999996" header="0.31496062000000002" footer="0.31496062000000002"/>
  <pageSetup paperSize="9" scale="80" fitToHeight="0"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44"/>
  <sheetViews>
    <sheetView view="pageBreakPreview" topLeftCell="A140" zoomScale="110" zoomScaleNormal="100" zoomScaleSheetLayoutView="110" workbookViewId="0">
      <selection activeCell="C151" sqref="C151"/>
    </sheetView>
  </sheetViews>
  <sheetFormatPr defaultColWidth="9.140625" defaultRowHeight="15.75" x14ac:dyDescent="0.25"/>
  <cols>
    <col min="1" max="1" width="9.140625" style="24"/>
    <col min="2" max="2" width="72.140625" style="24" customWidth="1"/>
    <col min="3" max="3" width="18" style="24" customWidth="1"/>
    <col min="4" max="4" width="14.28515625" style="24" customWidth="1"/>
    <col min="5" max="5" width="12.7109375" style="24" customWidth="1"/>
    <col min="6" max="6" width="12" style="24" customWidth="1"/>
    <col min="7" max="7" width="15.140625" style="24" customWidth="1"/>
    <col min="8" max="16384" width="9.140625" style="24"/>
  </cols>
  <sheetData>
    <row r="1" spans="1:4" ht="23.25" x14ac:dyDescent="0.35">
      <c r="A1" s="319" t="s">
        <v>74</v>
      </c>
      <c r="B1" s="319"/>
      <c r="C1" s="319"/>
      <c r="D1" s="319"/>
    </row>
    <row r="2" spans="1:4" ht="23.25" x14ac:dyDescent="0.35">
      <c r="A2" s="319" t="s">
        <v>75</v>
      </c>
      <c r="B2" s="319"/>
      <c r="C2" s="319"/>
      <c r="D2" s="319"/>
    </row>
    <row r="3" spans="1:4" x14ac:dyDescent="0.25">
      <c r="A3" s="320" t="s">
        <v>76</v>
      </c>
      <c r="B3" s="320"/>
      <c r="C3" s="320"/>
      <c r="D3" s="320"/>
    </row>
    <row r="4" spans="1:4" x14ac:dyDescent="0.25">
      <c r="A4" s="25"/>
      <c r="B4" s="25" t="s">
        <v>0</v>
      </c>
      <c r="C4" s="25" t="s">
        <v>5</v>
      </c>
      <c r="D4" s="26"/>
    </row>
    <row r="5" spans="1:4" x14ac:dyDescent="0.25">
      <c r="A5" s="26"/>
      <c r="B5" s="26"/>
      <c r="C5" s="25" t="s">
        <v>347</v>
      </c>
      <c r="D5" s="26"/>
    </row>
    <row r="6" spans="1:4" ht="32.25" customHeight="1" thickBot="1" x14ac:dyDescent="0.3">
      <c r="A6" s="26"/>
      <c r="B6" s="25" t="s">
        <v>1</v>
      </c>
      <c r="C6" s="51" t="s">
        <v>348</v>
      </c>
      <c r="D6" s="26"/>
    </row>
    <row r="7" spans="1:4" ht="25.5" customHeight="1" x14ac:dyDescent="0.25">
      <c r="A7" s="329" t="s">
        <v>354</v>
      </c>
      <c r="B7" s="330"/>
      <c r="C7" s="331"/>
    </row>
    <row r="8" spans="1:4" ht="25.5" customHeight="1" thickBot="1" x14ac:dyDescent="0.3">
      <c r="A8" s="332" t="s">
        <v>355</v>
      </c>
      <c r="B8" s="333"/>
      <c r="C8" s="334"/>
    </row>
    <row r="9" spans="1:4" x14ac:dyDescent="0.25">
      <c r="A9" s="86"/>
      <c r="B9" s="86"/>
      <c r="C9" s="86"/>
    </row>
    <row r="10" spans="1:4" x14ac:dyDescent="0.25">
      <c r="A10" s="317" t="s">
        <v>77</v>
      </c>
      <c r="B10" s="317"/>
      <c r="C10" s="317"/>
    </row>
    <row r="11" spans="1:4" ht="16.5" thickBot="1" x14ac:dyDescent="0.3"/>
    <row r="12" spans="1:4" ht="16.5" thickBot="1" x14ac:dyDescent="0.3">
      <c r="A12" s="27">
        <v>1</v>
      </c>
      <c r="B12" s="28" t="s">
        <v>78</v>
      </c>
      <c r="C12" s="28" t="s">
        <v>79</v>
      </c>
    </row>
    <row r="13" spans="1:4" ht="16.5" thickBot="1" x14ac:dyDescent="0.3">
      <c r="A13" s="29" t="s">
        <v>80</v>
      </c>
      <c r="B13" s="30" t="s">
        <v>81</v>
      </c>
      <c r="C13" s="31">
        <v>1470.16</v>
      </c>
    </row>
    <row r="14" spans="1:4" ht="16.5" thickBot="1" x14ac:dyDescent="0.3">
      <c r="A14" s="29" t="s">
        <v>82</v>
      </c>
      <c r="B14" s="30" t="s">
        <v>83</v>
      </c>
      <c r="C14" s="31"/>
    </row>
    <row r="15" spans="1:4" ht="16.5" thickBot="1" x14ac:dyDescent="0.3">
      <c r="A15" s="29" t="s">
        <v>84</v>
      </c>
      <c r="B15" s="30" t="s">
        <v>158</v>
      </c>
      <c r="C15" s="31">
        <f>C13*0.4</f>
        <v>588.06400000000008</v>
      </c>
    </row>
    <row r="16" spans="1:4" ht="16.5" thickBot="1" x14ac:dyDescent="0.3">
      <c r="A16" s="29" t="s">
        <v>86</v>
      </c>
      <c r="B16" s="30" t="s">
        <v>87</v>
      </c>
      <c r="C16" s="31"/>
    </row>
    <row r="17" spans="1:3" ht="16.5" thickBot="1" x14ac:dyDescent="0.3">
      <c r="A17" s="29" t="s">
        <v>88</v>
      </c>
      <c r="B17" s="30" t="s">
        <v>89</v>
      </c>
      <c r="C17" s="31"/>
    </row>
    <row r="18" spans="1:3" ht="16.5" thickBot="1" x14ac:dyDescent="0.3">
      <c r="A18" s="29" t="s">
        <v>90</v>
      </c>
      <c r="B18" s="30" t="s">
        <v>91</v>
      </c>
      <c r="C18" s="31"/>
    </row>
    <row r="19" spans="1:3" ht="16.5" thickBot="1" x14ac:dyDescent="0.3">
      <c r="A19" s="29" t="s">
        <v>92</v>
      </c>
      <c r="B19" s="30" t="s">
        <v>93</v>
      </c>
      <c r="C19" s="31"/>
    </row>
    <row r="20" spans="1:3" ht="16.5" thickBot="1" x14ac:dyDescent="0.3">
      <c r="A20" s="315" t="s">
        <v>94</v>
      </c>
      <c r="B20" s="316"/>
      <c r="C20" s="32">
        <f>SUM(C13:C19)</f>
        <v>2058.2240000000002</v>
      </c>
    </row>
    <row r="23" spans="1:3" x14ac:dyDescent="0.25">
      <c r="A23" s="317" t="s">
        <v>95</v>
      </c>
      <c r="B23" s="317"/>
      <c r="C23" s="317"/>
    </row>
    <row r="24" spans="1:3" x14ac:dyDescent="0.25">
      <c r="A24" s="33"/>
    </row>
    <row r="25" spans="1:3" x14ac:dyDescent="0.25">
      <c r="A25" s="318" t="s">
        <v>96</v>
      </c>
      <c r="B25" s="318"/>
      <c r="C25" s="318"/>
    </row>
    <row r="26" spans="1:3" ht="16.5" thickBot="1" x14ac:dyDescent="0.3"/>
    <row r="27" spans="1:3" ht="16.5" thickBot="1" x14ac:dyDescent="0.3">
      <c r="A27" s="27" t="s">
        <v>97</v>
      </c>
      <c r="B27" s="28" t="s">
        <v>98</v>
      </c>
      <c r="C27" s="28" t="s">
        <v>79</v>
      </c>
    </row>
    <row r="28" spans="1:3" ht="16.5" thickBot="1" x14ac:dyDescent="0.3">
      <c r="A28" s="29" t="s">
        <v>80</v>
      </c>
      <c r="B28" s="30" t="s">
        <v>99</v>
      </c>
      <c r="C28" s="31">
        <f>C20/12</f>
        <v>171.51866666666669</v>
      </c>
    </row>
    <row r="29" spans="1:3" ht="16.5" thickBot="1" x14ac:dyDescent="0.3">
      <c r="A29" s="29" t="s">
        <v>82</v>
      </c>
      <c r="B29" s="30" t="s">
        <v>100</v>
      </c>
      <c r="C29" s="31">
        <f>((C20*1/3))/12</f>
        <v>57.172888888888899</v>
      </c>
    </row>
    <row r="30" spans="1:3" ht="16.5" thickBot="1" x14ac:dyDescent="0.3">
      <c r="A30" s="315" t="s">
        <v>101</v>
      </c>
      <c r="B30" s="316"/>
      <c r="C30" s="31">
        <f>C29+C28</f>
        <v>228.6915555555556</v>
      </c>
    </row>
    <row r="31" spans="1:3" ht="16.5" thickBot="1" x14ac:dyDescent="0.3">
      <c r="A31" s="315" t="s">
        <v>102</v>
      </c>
      <c r="B31" s="316"/>
      <c r="C31" s="31">
        <f>C30*C45</f>
        <v>84.158492444444477</v>
      </c>
    </row>
    <row r="32" spans="1:3" ht="16.5" thickBot="1" x14ac:dyDescent="0.3">
      <c r="A32" s="315" t="s">
        <v>94</v>
      </c>
      <c r="B32" s="316"/>
      <c r="C32" s="31">
        <f>C31+C30</f>
        <v>312.85004800000007</v>
      </c>
    </row>
    <row r="34" spans="1:4" ht="32.25" customHeight="1" x14ac:dyDescent="0.25">
      <c r="A34" s="325" t="s">
        <v>103</v>
      </c>
      <c r="B34" s="325"/>
      <c r="C34" s="325"/>
      <c r="D34" s="325"/>
    </row>
    <row r="35" spans="1:4" ht="16.5" thickBot="1" x14ac:dyDescent="0.3"/>
    <row r="36" spans="1:4" ht="16.5" thickBot="1" x14ac:dyDescent="0.3">
      <c r="A36" s="27" t="s">
        <v>104</v>
      </c>
      <c r="B36" s="28" t="s">
        <v>105</v>
      </c>
      <c r="C36" s="28" t="s">
        <v>106</v>
      </c>
      <c r="D36" s="28" t="s">
        <v>79</v>
      </c>
    </row>
    <row r="37" spans="1:4" ht="16.5" thickBot="1" x14ac:dyDescent="0.3">
      <c r="A37" s="29" t="s">
        <v>80</v>
      </c>
      <c r="B37" s="30" t="s">
        <v>107</v>
      </c>
      <c r="C37" s="34">
        <v>0.2</v>
      </c>
      <c r="D37" s="31">
        <f>C37*$C$20</f>
        <v>411.64480000000003</v>
      </c>
    </row>
    <row r="38" spans="1:4" ht="16.5" thickBot="1" x14ac:dyDescent="0.3">
      <c r="A38" s="29" t="s">
        <v>82</v>
      </c>
      <c r="B38" s="30" t="s">
        <v>108</v>
      </c>
      <c r="C38" s="34">
        <v>2.5000000000000001E-2</v>
      </c>
      <c r="D38" s="31">
        <f t="shared" ref="D38:D43" si="0">C38*$C$20</f>
        <v>51.455600000000004</v>
      </c>
    </row>
    <row r="39" spans="1:4" ht="16.5" thickBot="1" x14ac:dyDescent="0.3">
      <c r="A39" s="29" t="s">
        <v>84</v>
      </c>
      <c r="B39" s="30" t="s">
        <v>109</v>
      </c>
      <c r="C39" s="34">
        <v>0.03</v>
      </c>
      <c r="D39" s="31">
        <f t="shared" si="0"/>
        <v>61.746720000000003</v>
      </c>
    </row>
    <row r="40" spans="1:4" ht="16.5" thickBot="1" x14ac:dyDescent="0.3">
      <c r="A40" s="29" t="s">
        <v>86</v>
      </c>
      <c r="B40" s="30" t="s">
        <v>110</v>
      </c>
      <c r="C40" s="34">
        <v>1.4999999999999999E-2</v>
      </c>
      <c r="D40" s="31">
        <f t="shared" si="0"/>
        <v>30.873360000000002</v>
      </c>
    </row>
    <row r="41" spans="1:4" ht="16.5" thickBot="1" x14ac:dyDescent="0.3">
      <c r="A41" s="29" t="s">
        <v>88</v>
      </c>
      <c r="B41" s="30" t="s">
        <v>111</v>
      </c>
      <c r="C41" s="34">
        <v>0.01</v>
      </c>
      <c r="D41" s="31">
        <f t="shared" si="0"/>
        <v>20.582240000000002</v>
      </c>
    </row>
    <row r="42" spans="1:4" ht="16.5" thickBot="1" x14ac:dyDescent="0.3">
      <c r="A42" s="29" t="s">
        <v>112</v>
      </c>
      <c r="B42" s="30" t="s">
        <v>113</v>
      </c>
      <c r="C42" s="34">
        <v>6.0000000000000001E-3</v>
      </c>
      <c r="D42" s="31">
        <f t="shared" si="0"/>
        <v>12.349344000000002</v>
      </c>
    </row>
    <row r="43" spans="1:4" ht="16.5" thickBot="1" x14ac:dyDescent="0.3">
      <c r="A43" s="29" t="s">
        <v>92</v>
      </c>
      <c r="B43" s="30" t="s">
        <v>114</v>
      </c>
      <c r="C43" s="34">
        <v>2E-3</v>
      </c>
      <c r="D43" s="31">
        <f t="shared" si="0"/>
        <v>4.1164480000000001</v>
      </c>
    </row>
    <row r="44" spans="1:4" ht="16.5" thickBot="1" x14ac:dyDescent="0.3">
      <c r="A44" s="29" t="s">
        <v>115</v>
      </c>
      <c r="B44" s="30" t="s">
        <v>116</v>
      </c>
      <c r="C44" s="34">
        <v>0.08</v>
      </c>
      <c r="D44" s="31">
        <f>C44*$C$20</f>
        <v>164.65792000000002</v>
      </c>
    </row>
    <row r="45" spans="1:4" ht="16.5" thickBot="1" x14ac:dyDescent="0.3">
      <c r="A45" s="315" t="s">
        <v>117</v>
      </c>
      <c r="B45" s="316"/>
      <c r="C45" s="34">
        <f>SUM(C37:C44)</f>
        <v>0.36800000000000005</v>
      </c>
      <c r="D45" s="31">
        <f>SUM(D37:D44)</f>
        <v>757.42643199999998</v>
      </c>
    </row>
    <row r="48" spans="1:4" x14ac:dyDescent="0.25">
      <c r="A48" s="318" t="s">
        <v>118</v>
      </c>
      <c r="B48" s="318"/>
      <c r="C48" s="318"/>
    </row>
    <row r="49" spans="1:3" ht="16.5" thickBot="1" x14ac:dyDescent="0.3"/>
    <row r="50" spans="1:3" ht="16.5" thickBot="1" x14ac:dyDescent="0.3">
      <c r="A50" s="27" t="s">
        <v>119</v>
      </c>
      <c r="B50" s="28" t="s">
        <v>120</v>
      </c>
      <c r="C50" s="28" t="s">
        <v>79</v>
      </c>
    </row>
    <row r="51" spans="1:3" ht="16.5" thickBot="1" x14ac:dyDescent="0.3">
      <c r="A51" s="29" t="s">
        <v>80</v>
      </c>
      <c r="B51" s="30" t="s">
        <v>121</v>
      </c>
      <c r="C51" s="31">
        <f>(52*'Novo Simulador'!C20)-(C20*6%)</f>
        <v>110.50655999999999</v>
      </c>
    </row>
    <row r="52" spans="1:3" ht="16.5" thickBot="1" x14ac:dyDescent="0.3">
      <c r="A52" s="29" t="s">
        <v>82</v>
      </c>
      <c r="B52" s="30" t="s">
        <v>122</v>
      </c>
      <c r="C52" s="31">
        <f>227.05-(227.05*0.2)</f>
        <v>181.64000000000001</v>
      </c>
    </row>
    <row r="53" spans="1:3" ht="16.5" thickBot="1" x14ac:dyDescent="0.3">
      <c r="A53" s="29" t="s">
        <v>84</v>
      </c>
      <c r="B53" s="30" t="s">
        <v>200</v>
      </c>
      <c r="C53" s="31">
        <v>15</v>
      </c>
    </row>
    <row r="54" spans="1:3" ht="16.5" thickBot="1" x14ac:dyDescent="0.3">
      <c r="A54" s="29" t="s">
        <v>86</v>
      </c>
      <c r="B54" s="30" t="s">
        <v>199</v>
      </c>
      <c r="C54" s="31">
        <v>128.35</v>
      </c>
    </row>
    <row r="55" spans="1:3" ht="16.5" thickBot="1" x14ac:dyDescent="0.3">
      <c r="A55" s="29" t="s">
        <v>88</v>
      </c>
      <c r="B55" s="30" t="s">
        <v>201</v>
      </c>
      <c r="C55" s="31">
        <v>0.61</v>
      </c>
    </row>
    <row r="56" spans="1:3" ht="16.5" thickBot="1" x14ac:dyDescent="0.3">
      <c r="A56" s="315" t="s">
        <v>94</v>
      </c>
      <c r="B56" s="316"/>
      <c r="C56" s="31">
        <f>SUM(C51:C55)</f>
        <v>436.10656000000006</v>
      </c>
    </row>
    <row r="59" spans="1:3" x14ac:dyDescent="0.25">
      <c r="A59" s="318" t="s">
        <v>124</v>
      </c>
      <c r="B59" s="318"/>
      <c r="C59" s="318"/>
    </row>
    <row r="60" spans="1:3" ht="16.5" thickBot="1" x14ac:dyDescent="0.3"/>
    <row r="61" spans="1:3" ht="16.5" thickBot="1" x14ac:dyDescent="0.3">
      <c r="A61" s="27">
        <v>2</v>
      </c>
      <c r="B61" s="28" t="s">
        <v>125</v>
      </c>
      <c r="C61" s="28" t="s">
        <v>79</v>
      </c>
    </row>
    <row r="62" spans="1:3" ht="16.5" thickBot="1" x14ac:dyDescent="0.3">
      <c r="A62" s="29" t="s">
        <v>97</v>
      </c>
      <c r="B62" s="30" t="s">
        <v>98</v>
      </c>
      <c r="C62" s="31">
        <f>C32</f>
        <v>312.85004800000007</v>
      </c>
    </row>
    <row r="63" spans="1:3" ht="16.5" thickBot="1" x14ac:dyDescent="0.3">
      <c r="A63" s="29" t="s">
        <v>104</v>
      </c>
      <c r="B63" s="30" t="s">
        <v>105</v>
      </c>
      <c r="C63" s="31">
        <f>D45</f>
        <v>757.42643199999998</v>
      </c>
    </row>
    <row r="64" spans="1:3" ht="16.5" thickBot="1" x14ac:dyDescent="0.3">
      <c r="A64" s="29" t="s">
        <v>119</v>
      </c>
      <c r="B64" s="30" t="s">
        <v>120</v>
      </c>
      <c r="C64" s="31">
        <f>C56</f>
        <v>436.10656000000006</v>
      </c>
    </row>
    <row r="65" spans="1:4" ht="16.5" thickBot="1" x14ac:dyDescent="0.3">
      <c r="A65" s="315" t="s">
        <v>94</v>
      </c>
      <c r="B65" s="316"/>
      <c r="C65" s="31">
        <f>SUM(C62:C64)</f>
        <v>1506.3830400000002</v>
      </c>
    </row>
    <row r="66" spans="1:4" x14ac:dyDescent="0.25">
      <c r="A66" s="35"/>
    </row>
    <row r="68" spans="1:4" x14ac:dyDescent="0.25">
      <c r="A68" s="317" t="s">
        <v>126</v>
      </c>
      <c r="B68" s="317"/>
      <c r="C68" s="317"/>
    </row>
    <row r="69" spans="1:4" ht="16.5" thickBot="1" x14ac:dyDescent="0.3"/>
    <row r="70" spans="1:4" ht="16.5" thickBot="1" x14ac:dyDescent="0.3">
      <c r="A70" s="27">
        <v>3</v>
      </c>
      <c r="B70" s="28" t="s">
        <v>127</v>
      </c>
      <c r="C70" s="28" t="s">
        <v>106</v>
      </c>
      <c r="D70" s="28" t="s">
        <v>79</v>
      </c>
    </row>
    <row r="71" spans="1:4" ht="16.5" thickBot="1" x14ac:dyDescent="0.3">
      <c r="A71" s="29" t="s">
        <v>80</v>
      </c>
      <c r="B71" s="36" t="s">
        <v>56</v>
      </c>
      <c r="C71" s="37">
        <v>4.1700000000000001E-3</v>
      </c>
      <c r="D71" s="31">
        <f t="shared" ref="D71:D76" si="1">C71*($C$20+$C$62)</f>
        <v>9.8873787801600024</v>
      </c>
    </row>
    <row r="72" spans="1:4" ht="16.5" thickBot="1" x14ac:dyDescent="0.3">
      <c r="A72" s="29" t="s">
        <v>82</v>
      </c>
      <c r="B72" s="36" t="s">
        <v>128</v>
      </c>
      <c r="C72" s="37">
        <v>3.3E-4</v>
      </c>
      <c r="D72" s="31">
        <f t="shared" si="1"/>
        <v>0.78245443584000007</v>
      </c>
    </row>
    <row r="73" spans="1:4" ht="16.5" thickBot="1" x14ac:dyDescent="0.3">
      <c r="A73" s="29" t="s">
        <v>84</v>
      </c>
      <c r="B73" s="36" t="s">
        <v>67</v>
      </c>
      <c r="C73" s="72">
        <v>3.2000000000000001E-2</v>
      </c>
      <c r="D73" s="31">
        <f t="shared" si="1"/>
        <v>75.874369536000017</v>
      </c>
    </row>
    <row r="74" spans="1:4" ht="16.5" thickBot="1" x14ac:dyDescent="0.3">
      <c r="A74" s="29" t="s">
        <v>86</v>
      </c>
      <c r="B74" s="36" t="s">
        <v>129</v>
      </c>
      <c r="C74" s="72">
        <v>1.9439999999999999E-2</v>
      </c>
      <c r="D74" s="31">
        <f t="shared" si="1"/>
        <v>46.093679493120007</v>
      </c>
    </row>
    <row r="75" spans="1:4" ht="32.25" thickBot="1" x14ac:dyDescent="0.3">
      <c r="A75" s="29" t="s">
        <v>88</v>
      </c>
      <c r="B75" s="36" t="s">
        <v>130</v>
      </c>
      <c r="C75" s="72">
        <f>C45*C74</f>
        <v>7.1539200000000002E-3</v>
      </c>
      <c r="D75" s="31">
        <f t="shared" si="1"/>
        <v>16.962474053468164</v>
      </c>
    </row>
    <row r="76" spans="1:4" ht="16.5" thickBot="1" x14ac:dyDescent="0.3">
      <c r="A76" s="29" t="s">
        <v>112</v>
      </c>
      <c r="B76" s="36" t="s">
        <v>349</v>
      </c>
      <c r="C76" s="83">
        <v>5.3E-3</v>
      </c>
      <c r="D76" s="31">
        <f t="shared" si="1"/>
        <v>12.566692454400002</v>
      </c>
    </row>
    <row r="77" spans="1:4" ht="16.5" thickBot="1" x14ac:dyDescent="0.3">
      <c r="A77" s="315" t="s">
        <v>94</v>
      </c>
      <c r="B77" s="316"/>
      <c r="C77" s="38">
        <f>SUM(C71:C76)</f>
        <v>6.8393919999999997E-2</v>
      </c>
      <c r="D77" s="31">
        <f>SUM(D71:D76)</f>
        <v>162.16704875298817</v>
      </c>
    </row>
    <row r="80" spans="1:4" x14ac:dyDescent="0.25">
      <c r="A80" s="317" t="s">
        <v>131</v>
      </c>
      <c r="B80" s="317"/>
      <c r="C80" s="317"/>
    </row>
    <row r="83" spans="1:4" x14ac:dyDescent="0.25">
      <c r="A83" s="318" t="s">
        <v>132</v>
      </c>
      <c r="B83" s="318"/>
      <c r="C83" s="318"/>
    </row>
    <row r="84" spans="1:4" ht="16.5" thickBot="1" x14ac:dyDescent="0.3">
      <c r="A84" s="33"/>
    </row>
    <row r="85" spans="1:4" ht="16.5" thickBot="1" x14ac:dyDescent="0.3">
      <c r="A85" s="27" t="s">
        <v>133</v>
      </c>
      <c r="B85" s="28" t="s">
        <v>134</v>
      </c>
      <c r="C85" s="28" t="s">
        <v>106</v>
      </c>
      <c r="D85" s="28" t="s">
        <v>79</v>
      </c>
    </row>
    <row r="86" spans="1:4" ht="16.5" thickBot="1" x14ac:dyDescent="0.3">
      <c r="A86" s="29" t="s">
        <v>80</v>
      </c>
      <c r="B86" s="30" t="s">
        <v>69</v>
      </c>
      <c r="C86" s="73">
        <v>1.6199999999999999E-2</v>
      </c>
      <c r="D86" s="31">
        <f>C86*$C$20</f>
        <v>33.343228799999999</v>
      </c>
    </row>
    <row r="87" spans="1:4" ht="16.5" thickBot="1" x14ac:dyDescent="0.3">
      <c r="A87" s="29" t="s">
        <v>82</v>
      </c>
      <c r="B87" s="30" t="s">
        <v>70</v>
      </c>
      <c r="C87" s="76">
        <v>8.2000000000000007E-3</v>
      </c>
      <c r="D87" s="31">
        <f t="shared" ref="D87:D91" si="2">C87*$C$20</f>
        <v>16.877436800000002</v>
      </c>
    </row>
    <row r="88" spans="1:4" ht="16.5" thickBot="1" x14ac:dyDescent="0.3">
      <c r="A88" s="29" t="s">
        <v>84</v>
      </c>
      <c r="B88" s="30" t="s">
        <v>71</v>
      </c>
      <c r="C88" s="76">
        <v>2.1000000000000001E-4</v>
      </c>
      <c r="D88" s="31">
        <f t="shared" si="2"/>
        <v>0.43222704000000006</v>
      </c>
    </row>
    <row r="89" spans="1:4" ht="16.5" thickBot="1" x14ac:dyDescent="0.3">
      <c r="A89" s="29" t="s">
        <v>86</v>
      </c>
      <c r="B89" s="30" t="s">
        <v>72</v>
      </c>
      <c r="C89" s="76">
        <v>2.9999999999999997E-4</v>
      </c>
      <c r="D89" s="31">
        <f t="shared" si="2"/>
        <v>0.61746719999999999</v>
      </c>
    </row>
    <row r="90" spans="1:4" ht="16.5" thickBot="1" x14ac:dyDescent="0.3">
      <c r="A90" s="29" t="s">
        <v>88</v>
      </c>
      <c r="B90" s="30" t="s">
        <v>73</v>
      </c>
      <c r="C90" s="76">
        <f>ROUND(((1+1/3)/12)*(4/12)*0.02,4)</f>
        <v>6.9999999999999999E-4</v>
      </c>
      <c r="D90" s="31">
        <f t="shared" si="2"/>
        <v>1.4407568000000002</v>
      </c>
    </row>
    <row r="91" spans="1:4" ht="16.5" thickBot="1" x14ac:dyDescent="0.3">
      <c r="A91" s="29" t="s">
        <v>112</v>
      </c>
      <c r="B91" s="30" t="s">
        <v>135</v>
      </c>
      <c r="C91" s="76">
        <v>0</v>
      </c>
      <c r="D91" s="31">
        <f t="shared" si="2"/>
        <v>0</v>
      </c>
    </row>
    <row r="92" spans="1:4" ht="16.5" thickBot="1" x14ac:dyDescent="0.3">
      <c r="A92" s="315" t="s">
        <v>117</v>
      </c>
      <c r="B92" s="316"/>
      <c r="C92" s="34">
        <f>SUM(C86:C91)</f>
        <v>2.5609999999999997E-2</v>
      </c>
      <c r="D92" s="31">
        <f>SUM(D86:D91)</f>
        <v>52.711116640000007</v>
      </c>
    </row>
    <row r="95" spans="1:4" x14ac:dyDescent="0.25">
      <c r="A95" s="318" t="s">
        <v>136</v>
      </c>
      <c r="B95" s="318"/>
      <c r="C95" s="318"/>
    </row>
    <row r="96" spans="1:4" ht="16.5" thickBot="1" x14ac:dyDescent="0.3">
      <c r="A96" s="33"/>
    </row>
    <row r="97" spans="1:4" ht="16.5" thickBot="1" x14ac:dyDescent="0.3">
      <c r="A97" s="27" t="s">
        <v>137</v>
      </c>
      <c r="B97" s="28" t="s">
        <v>138</v>
      </c>
      <c r="C97" s="28" t="s">
        <v>106</v>
      </c>
      <c r="D97" s="28" t="s">
        <v>79</v>
      </c>
    </row>
    <row r="98" spans="1:4" ht="16.5" thickBot="1" x14ac:dyDescent="0.3">
      <c r="A98" s="29" t="s">
        <v>80</v>
      </c>
      <c r="B98" s="30" t="s">
        <v>139</v>
      </c>
      <c r="C98" s="39">
        <v>0</v>
      </c>
      <c r="D98" s="31">
        <f>C20*C98</f>
        <v>0</v>
      </c>
    </row>
    <row r="99" spans="1:4" ht="16.5" thickBot="1" x14ac:dyDescent="0.3">
      <c r="A99" s="315" t="s">
        <v>94</v>
      </c>
      <c r="B99" s="316"/>
      <c r="C99" s="39">
        <f>C98</f>
        <v>0</v>
      </c>
      <c r="D99" s="31">
        <f>D98</f>
        <v>0</v>
      </c>
    </row>
    <row r="102" spans="1:4" x14ac:dyDescent="0.25">
      <c r="A102" s="318" t="s">
        <v>140</v>
      </c>
      <c r="B102" s="318"/>
      <c r="C102" s="318"/>
    </row>
    <row r="103" spans="1:4" ht="16.5" thickBot="1" x14ac:dyDescent="0.3">
      <c r="A103" s="33"/>
    </row>
    <row r="104" spans="1:4" ht="16.5" thickBot="1" x14ac:dyDescent="0.3">
      <c r="A104" s="27">
        <v>4</v>
      </c>
      <c r="B104" s="28" t="s">
        <v>141</v>
      </c>
      <c r="C104" s="28" t="s">
        <v>79</v>
      </c>
    </row>
    <row r="105" spans="1:4" ht="16.5" thickBot="1" x14ac:dyDescent="0.3">
      <c r="A105" s="29" t="s">
        <v>133</v>
      </c>
      <c r="B105" s="30" t="s">
        <v>142</v>
      </c>
      <c r="C105" s="31">
        <f>D92</f>
        <v>52.711116640000007</v>
      </c>
      <c r="D105" s="49"/>
    </row>
    <row r="106" spans="1:4" ht="16.5" thickBot="1" x14ac:dyDescent="0.3">
      <c r="A106" s="29" t="s">
        <v>137</v>
      </c>
      <c r="B106" s="30" t="s">
        <v>143</v>
      </c>
      <c r="C106" s="31">
        <f>D99</f>
        <v>0</v>
      </c>
      <c r="D106" s="49"/>
    </row>
    <row r="107" spans="1:4" ht="16.5" thickBot="1" x14ac:dyDescent="0.3">
      <c r="A107" s="40" t="s">
        <v>80</v>
      </c>
      <c r="B107" s="30" t="s">
        <v>144</v>
      </c>
      <c r="C107" s="31">
        <f>(C105+C106)*C45</f>
        <v>19.397690923520006</v>
      </c>
      <c r="D107" s="49"/>
    </row>
    <row r="108" spans="1:4" ht="16.5" thickBot="1" x14ac:dyDescent="0.3">
      <c r="A108" s="315" t="s">
        <v>94</v>
      </c>
      <c r="B108" s="316"/>
      <c r="C108" s="31">
        <f>SUM(C105:C107)</f>
        <v>72.108807563520017</v>
      </c>
      <c r="D108" s="49"/>
    </row>
    <row r="111" spans="1:4" x14ac:dyDescent="0.25">
      <c r="A111" s="317" t="s">
        <v>145</v>
      </c>
      <c r="B111" s="317"/>
      <c r="C111" s="317"/>
    </row>
    <row r="112" spans="1:4" ht="16.5" thickBot="1" x14ac:dyDescent="0.3"/>
    <row r="113" spans="1:4" ht="16.5" thickBot="1" x14ac:dyDescent="0.3">
      <c r="A113" s="27">
        <v>5</v>
      </c>
      <c r="B113" s="41" t="s">
        <v>146</v>
      </c>
      <c r="C113" s="28" t="s">
        <v>79</v>
      </c>
    </row>
    <row r="114" spans="1:4" ht="16.5" thickBot="1" x14ac:dyDescent="0.3">
      <c r="A114" s="29" t="s">
        <v>80</v>
      </c>
      <c r="B114" s="30" t="s">
        <v>191</v>
      </c>
      <c r="C114" s="55">
        <f>Fardamento!F13</f>
        <v>85.55749999999999</v>
      </c>
    </row>
    <row r="115" spans="1:4" ht="16.5" thickBot="1" x14ac:dyDescent="0.3">
      <c r="A115" s="29" t="s">
        <v>82</v>
      </c>
      <c r="B115" s="30" t="s">
        <v>3</v>
      </c>
      <c r="C115" s="55" cm="1">
        <f t="array" ref="C115:D115">'Insumos v2'!E10:F10</f>
        <v>1234.3091666666662</v>
      </c>
      <c r="D115" s="24">
        <v>0</v>
      </c>
    </row>
    <row r="116" spans="1:4" ht="16.5" thickBot="1" x14ac:dyDescent="0.3">
      <c r="A116" s="29" t="s">
        <v>84</v>
      </c>
      <c r="B116" s="30" t="s">
        <v>147</v>
      </c>
      <c r="C116" s="55" cm="1">
        <f t="array" ref="C116:D116">'Insumos v2'!E11:F11</f>
        <v>265.81416666666667</v>
      </c>
      <c r="D116" s="24">
        <v>0</v>
      </c>
    </row>
    <row r="117" spans="1:4" ht="16.5" thickBot="1" x14ac:dyDescent="0.3">
      <c r="A117" s="29" t="s">
        <v>86</v>
      </c>
      <c r="B117" s="30" t="s">
        <v>192</v>
      </c>
      <c r="C117" s="55" cm="1">
        <f t="array" ref="C117:D117">'Insumos v2'!E12:F12</f>
        <v>64.837685185185194</v>
      </c>
      <c r="D117" s="24">
        <v>0</v>
      </c>
    </row>
    <row r="118" spans="1:4" ht="16.5" thickBot="1" x14ac:dyDescent="0.3">
      <c r="A118" s="315" t="s">
        <v>117</v>
      </c>
      <c r="B118" s="316"/>
      <c r="C118" s="55">
        <f>SUM(C114:C117)</f>
        <v>1650.518518518518</v>
      </c>
    </row>
    <row r="121" spans="1:4" x14ac:dyDescent="0.25">
      <c r="A121" s="317" t="s">
        <v>148</v>
      </c>
      <c r="B121" s="317"/>
      <c r="C121" s="317"/>
    </row>
    <row r="122" spans="1:4" ht="16.5" thickBot="1" x14ac:dyDescent="0.3"/>
    <row r="123" spans="1:4" ht="16.5" thickBot="1" x14ac:dyDescent="0.3">
      <c r="A123" s="27">
        <v>6</v>
      </c>
      <c r="B123" s="41" t="s">
        <v>149</v>
      </c>
      <c r="C123" s="28" t="s">
        <v>106</v>
      </c>
      <c r="D123" s="28" t="s">
        <v>79</v>
      </c>
    </row>
    <row r="124" spans="1:4" ht="16.5" thickBot="1" x14ac:dyDescent="0.3">
      <c r="A124" s="29" t="s">
        <v>80</v>
      </c>
      <c r="B124" s="30" t="s">
        <v>33</v>
      </c>
      <c r="C124" s="73">
        <v>0.03</v>
      </c>
      <c r="D124" s="31">
        <f>C124*C142</f>
        <v>163.48204244505078</v>
      </c>
    </row>
    <row r="125" spans="1:4" ht="16.5" thickBot="1" x14ac:dyDescent="0.3">
      <c r="A125" s="29" t="s">
        <v>82</v>
      </c>
      <c r="B125" s="30" t="s">
        <v>34</v>
      </c>
      <c r="C125" s="73">
        <v>6.7900000000000002E-2</v>
      </c>
      <c r="D125" s="31">
        <f>(D124+C142)*C125</f>
        <v>381.11478674931726</v>
      </c>
    </row>
    <row r="126" spans="1:4" ht="16.5" thickBot="1" x14ac:dyDescent="0.3">
      <c r="A126" s="29" t="s">
        <v>84</v>
      </c>
      <c r="B126" s="30" t="s">
        <v>4</v>
      </c>
      <c r="C126" s="34">
        <f>SUM(C127:C130)</f>
        <v>8.6499999999999994E-2</v>
      </c>
      <c r="D126" s="55">
        <f>((D124+D125+C142)/(100%-C126)) - (D124+D125+C142)</f>
        <v>567.57618840563009</v>
      </c>
    </row>
    <row r="127" spans="1:4" ht="16.5" thickBot="1" x14ac:dyDescent="0.3">
      <c r="A127" s="29"/>
      <c r="B127" s="42" t="s">
        <v>412</v>
      </c>
      <c r="C127" s="50">
        <v>6.4999999999999997E-3</v>
      </c>
      <c r="D127" s="43"/>
    </row>
    <row r="128" spans="1:4" ht="16.5" thickBot="1" x14ac:dyDescent="0.3">
      <c r="A128" s="29"/>
      <c r="B128" s="42" t="s">
        <v>413</v>
      </c>
      <c r="C128" s="50">
        <v>0.03</v>
      </c>
      <c r="D128" s="43"/>
    </row>
    <row r="129" spans="1:4" ht="16.5" thickBot="1" x14ac:dyDescent="0.3">
      <c r="A129" s="29"/>
      <c r="B129" s="42" t="s">
        <v>151</v>
      </c>
      <c r="C129" s="50">
        <v>0</v>
      </c>
      <c r="D129" s="43"/>
    </row>
    <row r="130" spans="1:4" ht="16.5" thickBot="1" x14ac:dyDescent="0.3">
      <c r="A130" s="29"/>
      <c r="B130" s="42" t="s">
        <v>152</v>
      </c>
      <c r="C130" s="44">
        <v>0.05</v>
      </c>
      <c r="D130" s="43"/>
    </row>
    <row r="131" spans="1:4" ht="16.5" thickBot="1" x14ac:dyDescent="0.3">
      <c r="A131" s="315" t="s">
        <v>117</v>
      </c>
      <c r="B131" s="316"/>
      <c r="C131" s="34"/>
      <c r="D131" s="31">
        <f>D124+D125+D126</f>
        <v>1112.1730175999983</v>
      </c>
    </row>
    <row r="134" spans="1:4" x14ac:dyDescent="0.25">
      <c r="A134" s="317" t="s">
        <v>153</v>
      </c>
      <c r="B134" s="317"/>
      <c r="C134" s="317"/>
    </row>
    <row r="135" spans="1:4" ht="16.5" thickBot="1" x14ac:dyDescent="0.3"/>
    <row r="136" spans="1:4" ht="16.5" thickBot="1" x14ac:dyDescent="0.3">
      <c r="A136" s="27"/>
      <c r="B136" s="28" t="s">
        <v>154</v>
      </c>
      <c r="C136" s="28" t="s">
        <v>79</v>
      </c>
    </row>
    <row r="137" spans="1:4" ht="16.5" thickBot="1" x14ac:dyDescent="0.3">
      <c r="A137" s="45" t="s">
        <v>80</v>
      </c>
      <c r="B137" s="30" t="s">
        <v>77</v>
      </c>
      <c r="C137" s="46">
        <f>C20</f>
        <v>2058.2240000000002</v>
      </c>
    </row>
    <row r="138" spans="1:4" ht="16.5" thickBot="1" x14ac:dyDescent="0.3">
      <c r="A138" s="45" t="s">
        <v>82</v>
      </c>
      <c r="B138" s="30" t="s">
        <v>95</v>
      </c>
      <c r="C138" s="46">
        <f>C65</f>
        <v>1506.3830400000002</v>
      </c>
    </row>
    <row r="139" spans="1:4" ht="16.5" thickBot="1" x14ac:dyDescent="0.3">
      <c r="A139" s="45" t="s">
        <v>84</v>
      </c>
      <c r="B139" s="30" t="s">
        <v>126</v>
      </c>
      <c r="C139" s="46">
        <f>D77</f>
        <v>162.16704875298817</v>
      </c>
    </row>
    <row r="140" spans="1:4" ht="16.5" thickBot="1" x14ac:dyDescent="0.3">
      <c r="A140" s="45" t="s">
        <v>86</v>
      </c>
      <c r="B140" s="30" t="s">
        <v>131</v>
      </c>
      <c r="C140" s="47">
        <f>C108</f>
        <v>72.108807563520017</v>
      </c>
    </row>
    <row r="141" spans="1:4" ht="16.5" thickBot="1" x14ac:dyDescent="0.3">
      <c r="A141" s="45" t="s">
        <v>88</v>
      </c>
      <c r="B141" s="30" t="s">
        <v>145</v>
      </c>
      <c r="C141" s="46">
        <f>C118</f>
        <v>1650.518518518518</v>
      </c>
    </row>
    <row r="142" spans="1:4" ht="16.5" thickBot="1" x14ac:dyDescent="0.3">
      <c r="A142" s="315" t="s">
        <v>155</v>
      </c>
      <c r="B142" s="316"/>
      <c r="C142" s="46">
        <f>SUM(C137:C141)</f>
        <v>5449.4014148350261</v>
      </c>
    </row>
    <row r="143" spans="1:4" ht="16.5" thickBot="1" x14ac:dyDescent="0.3">
      <c r="A143" s="45" t="s">
        <v>112</v>
      </c>
      <c r="B143" s="30" t="s">
        <v>156</v>
      </c>
      <c r="C143" s="46">
        <f>D131</f>
        <v>1112.1730175999983</v>
      </c>
    </row>
    <row r="144" spans="1:4" ht="16.5" thickBot="1" x14ac:dyDescent="0.3">
      <c r="A144" s="315" t="s">
        <v>157</v>
      </c>
      <c r="B144" s="316"/>
      <c r="C144" s="46">
        <f>C143+C142</f>
        <v>6561.5744324350244</v>
      </c>
    </row>
  </sheetData>
  <mergeCells count="34">
    <mergeCell ref="A45:B45"/>
    <mergeCell ref="A1:D1"/>
    <mergeCell ref="A2:D2"/>
    <mergeCell ref="A3:D3"/>
    <mergeCell ref="A10:C10"/>
    <mergeCell ref="A20:B20"/>
    <mergeCell ref="A23:C23"/>
    <mergeCell ref="A25:C25"/>
    <mergeCell ref="A30:B30"/>
    <mergeCell ref="A31:B31"/>
    <mergeCell ref="A32:B32"/>
    <mergeCell ref="A34:D34"/>
    <mergeCell ref="A8:C8"/>
    <mergeCell ref="A7:C7"/>
    <mergeCell ref="A102:C102"/>
    <mergeCell ref="A48:C48"/>
    <mergeCell ref="A56:B56"/>
    <mergeCell ref="A59:C59"/>
    <mergeCell ref="A65:B65"/>
    <mergeCell ref="A68:C68"/>
    <mergeCell ref="A77:B77"/>
    <mergeCell ref="A80:C80"/>
    <mergeCell ref="A83:C83"/>
    <mergeCell ref="A92:B92"/>
    <mergeCell ref="A95:C95"/>
    <mergeCell ref="A99:B99"/>
    <mergeCell ref="A142:B142"/>
    <mergeCell ref="A144:B144"/>
    <mergeCell ref="A108:B108"/>
    <mergeCell ref="A111:C111"/>
    <mergeCell ref="A118:B118"/>
    <mergeCell ref="A121:C121"/>
    <mergeCell ref="A131:B131"/>
    <mergeCell ref="A134:C134"/>
  </mergeCells>
  <pageMargins left="0.511811024" right="0.511811024" top="0.78740157499999996" bottom="0.78740157499999996" header="0.31496062000000002" footer="0.31496062000000002"/>
  <pageSetup paperSize="9" scale="81" orientation="portrait" r:id="rId1"/>
  <colBreaks count="1" manualBreakCount="1">
    <brk id="4"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40"/>
  <sheetViews>
    <sheetView view="pageBreakPreview" topLeftCell="A79" zoomScaleNormal="100" zoomScaleSheetLayoutView="100" workbookViewId="0">
      <selection activeCell="D10" sqref="D10"/>
    </sheetView>
  </sheetViews>
  <sheetFormatPr defaultColWidth="9.140625" defaultRowHeight="15.75" x14ac:dyDescent="0.25"/>
  <cols>
    <col min="1" max="1" width="9.140625" style="24"/>
    <col min="2" max="2" width="72.7109375" style="24" customWidth="1"/>
    <col min="3" max="3" width="18" style="24" customWidth="1"/>
    <col min="4" max="4" width="14.28515625" style="24" customWidth="1"/>
    <col min="5" max="5" width="12.7109375" style="24" customWidth="1"/>
    <col min="6" max="6" width="12" style="24" customWidth="1"/>
    <col min="7" max="7" width="15.140625" style="24" customWidth="1"/>
    <col min="8" max="16384" width="9.140625" style="24"/>
  </cols>
  <sheetData>
    <row r="1" spans="1:4" ht="23.25" x14ac:dyDescent="0.35">
      <c r="A1" s="319" t="s">
        <v>74</v>
      </c>
      <c r="B1" s="319"/>
      <c r="C1" s="319"/>
      <c r="D1" s="319"/>
    </row>
    <row r="2" spans="1:4" ht="23.25" x14ac:dyDescent="0.35">
      <c r="A2" s="319" t="s">
        <v>75</v>
      </c>
      <c r="B2" s="319"/>
      <c r="C2" s="319"/>
      <c r="D2" s="319"/>
    </row>
    <row r="3" spans="1:4" x14ac:dyDescent="0.25">
      <c r="A3" s="320" t="s">
        <v>76</v>
      </c>
      <c r="B3" s="320"/>
      <c r="C3" s="320"/>
      <c r="D3" s="320"/>
    </row>
    <row r="4" spans="1:4" x14ac:dyDescent="0.25">
      <c r="A4" s="25"/>
      <c r="B4" s="25" t="s">
        <v>0</v>
      </c>
      <c r="C4" s="26" t="s">
        <v>5</v>
      </c>
      <c r="D4" s="26"/>
    </row>
    <row r="5" spans="1:4" x14ac:dyDescent="0.25">
      <c r="A5" s="26"/>
      <c r="B5" s="26"/>
      <c r="C5" s="26" t="s">
        <v>64</v>
      </c>
      <c r="D5" s="26"/>
    </row>
    <row r="6" spans="1:4" ht="31.5" x14ac:dyDescent="0.25">
      <c r="A6" s="26"/>
      <c r="B6" s="25" t="s">
        <v>1</v>
      </c>
      <c r="C6" s="51" t="s">
        <v>65</v>
      </c>
      <c r="D6" s="26"/>
    </row>
    <row r="7" spans="1:4" x14ac:dyDescent="0.25">
      <c r="A7" s="317" t="s">
        <v>77</v>
      </c>
      <c r="B7" s="317"/>
      <c r="C7" s="317"/>
    </row>
    <row r="8" spans="1:4" ht="16.5" thickBot="1" x14ac:dyDescent="0.3"/>
    <row r="9" spans="1:4" ht="16.5" thickBot="1" x14ac:dyDescent="0.3">
      <c r="A9" s="27">
        <v>1</v>
      </c>
      <c r="B9" s="28" t="s">
        <v>78</v>
      </c>
      <c r="C9" s="28" t="s">
        <v>79</v>
      </c>
    </row>
    <row r="10" spans="1:4" ht="16.5" thickBot="1" x14ac:dyDescent="0.3">
      <c r="A10" s="29" t="s">
        <v>80</v>
      </c>
      <c r="B10" s="30" t="s">
        <v>81</v>
      </c>
      <c r="C10" s="55">
        <v>1566.92</v>
      </c>
    </row>
    <row r="11" spans="1:4" ht="16.5" thickBot="1" x14ac:dyDescent="0.3">
      <c r="A11" s="29" t="s">
        <v>82</v>
      </c>
      <c r="B11" s="30" t="s">
        <v>83</v>
      </c>
      <c r="C11" s="31"/>
    </row>
    <row r="12" spans="1:4" ht="16.5" thickBot="1" x14ac:dyDescent="0.3">
      <c r="A12" s="29" t="s">
        <v>84</v>
      </c>
      <c r="B12" s="30" t="s">
        <v>85</v>
      </c>
      <c r="C12" s="31"/>
    </row>
    <row r="13" spans="1:4" ht="16.5" thickBot="1" x14ac:dyDescent="0.3">
      <c r="A13" s="29" t="s">
        <v>86</v>
      </c>
      <c r="B13" s="30" t="s">
        <v>87</v>
      </c>
      <c r="C13" s="31"/>
    </row>
    <row r="14" spans="1:4" ht="16.5" thickBot="1" x14ac:dyDescent="0.3">
      <c r="A14" s="29" t="s">
        <v>88</v>
      </c>
      <c r="B14" s="30" t="s">
        <v>89</v>
      </c>
      <c r="C14" s="31"/>
    </row>
    <row r="15" spans="1:4" ht="16.5" thickBot="1" x14ac:dyDescent="0.3">
      <c r="A15" s="29" t="s">
        <v>90</v>
      </c>
      <c r="B15" s="30" t="s">
        <v>91</v>
      </c>
      <c r="C15" s="31"/>
    </row>
    <row r="16" spans="1:4" ht="16.5" thickBot="1" x14ac:dyDescent="0.3">
      <c r="A16" s="29" t="s">
        <v>92</v>
      </c>
      <c r="B16" s="30" t="s">
        <v>93</v>
      </c>
      <c r="C16" s="31"/>
    </row>
    <row r="17" spans="1:4" ht="16.5" thickBot="1" x14ac:dyDescent="0.3">
      <c r="A17" s="315" t="s">
        <v>94</v>
      </c>
      <c r="B17" s="316"/>
      <c r="C17" s="32">
        <f>SUM(C10:C16)</f>
        <v>1566.92</v>
      </c>
    </row>
    <row r="20" spans="1:4" x14ac:dyDescent="0.25">
      <c r="A20" s="317" t="s">
        <v>95</v>
      </c>
      <c r="B20" s="317"/>
      <c r="C20" s="317"/>
    </row>
    <row r="21" spans="1:4" x14ac:dyDescent="0.25">
      <c r="A21" s="33"/>
    </row>
    <row r="22" spans="1:4" x14ac:dyDescent="0.25">
      <c r="A22" s="318" t="s">
        <v>96</v>
      </c>
      <c r="B22" s="318"/>
      <c r="C22" s="318"/>
    </row>
    <row r="23" spans="1:4" ht="16.5" thickBot="1" x14ac:dyDescent="0.3"/>
    <row r="24" spans="1:4" ht="16.5" thickBot="1" x14ac:dyDescent="0.3">
      <c r="A24" s="27" t="s">
        <v>97</v>
      </c>
      <c r="B24" s="28" t="s">
        <v>98</v>
      </c>
      <c r="C24" s="28" t="s">
        <v>79</v>
      </c>
    </row>
    <row r="25" spans="1:4" ht="16.5" thickBot="1" x14ac:dyDescent="0.3">
      <c r="A25" s="29" t="s">
        <v>80</v>
      </c>
      <c r="B25" s="30" t="s">
        <v>99</v>
      </c>
      <c r="C25" s="31">
        <f>C17/12</f>
        <v>130.57666666666668</v>
      </c>
    </row>
    <row r="26" spans="1:4" ht="16.5" thickBot="1" x14ac:dyDescent="0.3">
      <c r="A26" s="29" t="s">
        <v>82</v>
      </c>
      <c r="B26" s="30" t="s">
        <v>100</v>
      </c>
      <c r="C26" s="31">
        <f>((C17*1/3))/12</f>
        <v>43.525555555555563</v>
      </c>
    </row>
    <row r="27" spans="1:4" ht="16.5" thickBot="1" x14ac:dyDescent="0.3">
      <c r="A27" s="315" t="s">
        <v>101</v>
      </c>
      <c r="B27" s="316"/>
      <c r="C27" s="31">
        <f>C26+C25</f>
        <v>174.10222222222225</v>
      </c>
    </row>
    <row r="28" spans="1:4" ht="16.5" thickBot="1" x14ac:dyDescent="0.3">
      <c r="A28" s="315" t="s">
        <v>102</v>
      </c>
      <c r="B28" s="316"/>
      <c r="C28" s="31">
        <f>C27*C42</f>
        <v>64.069617777777793</v>
      </c>
    </row>
    <row r="29" spans="1:4" ht="16.5" thickBot="1" x14ac:dyDescent="0.3">
      <c r="A29" s="315" t="s">
        <v>94</v>
      </c>
      <c r="B29" s="316"/>
      <c r="C29" s="31">
        <f>C28+C27</f>
        <v>238.17184000000003</v>
      </c>
    </row>
    <row r="31" spans="1:4" ht="32.25" customHeight="1" x14ac:dyDescent="0.25">
      <c r="A31" s="325" t="s">
        <v>103</v>
      </c>
      <c r="B31" s="325"/>
      <c r="C31" s="325"/>
      <c r="D31" s="325"/>
    </row>
    <row r="32" spans="1:4" ht="16.5" thickBot="1" x14ac:dyDescent="0.3"/>
    <row r="33" spans="1:4" ht="16.5" thickBot="1" x14ac:dyDescent="0.3">
      <c r="A33" s="27" t="s">
        <v>104</v>
      </c>
      <c r="B33" s="28" t="s">
        <v>105</v>
      </c>
      <c r="C33" s="28" t="s">
        <v>106</v>
      </c>
      <c r="D33" s="28" t="s">
        <v>79</v>
      </c>
    </row>
    <row r="34" spans="1:4" ht="16.5" thickBot="1" x14ac:dyDescent="0.3">
      <c r="A34" s="29" t="s">
        <v>80</v>
      </c>
      <c r="B34" s="30" t="s">
        <v>107</v>
      </c>
      <c r="C34" s="34">
        <v>0.2</v>
      </c>
      <c r="D34" s="31">
        <f>C34*$C$17</f>
        <v>313.38400000000001</v>
      </c>
    </row>
    <row r="35" spans="1:4" ht="16.5" thickBot="1" x14ac:dyDescent="0.3">
      <c r="A35" s="29" t="s">
        <v>82</v>
      </c>
      <c r="B35" s="30" t="s">
        <v>108</v>
      </c>
      <c r="C35" s="34">
        <v>2.5000000000000001E-2</v>
      </c>
      <c r="D35" s="31">
        <f t="shared" ref="D35:D40" si="0">C35*$C$17</f>
        <v>39.173000000000002</v>
      </c>
    </row>
    <row r="36" spans="1:4" ht="16.5" thickBot="1" x14ac:dyDescent="0.3">
      <c r="A36" s="29" t="s">
        <v>84</v>
      </c>
      <c r="B36" s="30" t="s">
        <v>109</v>
      </c>
      <c r="C36" s="34">
        <v>0.03</v>
      </c>
      <c r="D36" s="31">
        <f t="shared" si="0"/>
        <v>47.007600000000004</v>
      </c>
    </row>
    <row r="37" spans="1:4" ht="16.5" thickBot="1" x14ac:dyDescent="0.3">
      <c r="A37" s="29" t="s">
        <v>86</v>
      </c>
      <c r="B37" s="30" t="s">
        <v>110</v>
      </c>
      <c r="C37" s="34">
        <v>1.4999999999999999E-2</v>
      </c>
      <c r="D37" s="31">
        <f t="shared" si="0"/>
        <v>23.503800000000002</v>
      </c>
    </row>
    <row r="38" spans="1:4" ht="16.5" thickBot="1" x14ac:dyDescent="0.3">
      <c r="A38" s="29" t="s">
        <v>88</v>
      </c>
      <c r="B38" s="30" t="s">
        <v>111</v>
      </c>
      <c r="C38" s="34">
        <v>0.01</v>
      </c>
      <c r="D38" s="31">
        <f t="shared" si="0"/>
        <v>15.669200000000002</v>
      </c>
    </row>
    <row r="39" spans="1:4" ht="16.5" thickBot="1" x14ac:dyDescent="0.3">
      <c r="A39" s="29" t="s">
        <v>112</v>
      </c>
      <c r="B39" s="30" t="s">
        <v>113</v>
      </c>
      <c r="C39" s="34">
        <v>6.0000000000000001E-3</v>
      </c>
      <c r="D39" s="31">
        <f t="shared" si="0"/>
        <v>9.4015200000000014</v>
      </c>
    </row>
    <row r="40" spans="1:4" ht="16.5" thickBot="1" x14ac:dyDescent="0.3">
      <c r="A40" s="29" t="s">
        <v>92</v>
      </c>
      <c r="B40" s="30" t="s">
        <v>114</v>
      </c>
      <c r="C40" s="34">
        <v>2E-3</v>
      </c>
      <c r="D40" s="31">
        <f t="shared" si="0"/>
        <v>3.1338400000000002</v>
      </c>
    </row>
    <row r="41" spans="1:4" ht="16.5" thickBot="1" x14ac:dyDescent="0.3">
      <c r="A41" s="29" t="s">
        <v>115</v>
      </c>
      <c r="B41" s="30" t="s">
        <v>116</v>
      </c>
      <c r="C41" s="34">
        <v>0.08</v>
      </c>
      <c r="D41" s="31">
        <f>C41*$C$17</f>
        <v>125.35360000000001</v>
      </c>
    </row>
    <row r="42" spans="1:4" ht="16.5" thickBot="1" x14ac:dyDescent="0.3">
      <c r="A42" s="315" t="s">
        <v>117</v>
      </c>
      <c r="B42" s="316"/>
      <c r="C42" s="34">
        <f>SUM(C34:C41)</f>
        <v>0.36800000000000005</v>
      </c>
      <c r="D42" s="31">
        <f>SUM(D34:D41)</f>
        <v>576.62656000000004</v>
      </c>
    </row>
    <row r="45" spans="1:4" x14ac:dyDescent="0.25">
      <c r="A45" s="318" t="s">
        <v>118</v>
      </c>
      <c r="B45" s="318"/>
      <c r="C45" s="318"/>
    </row>
    <row r="46" spans="1:4" ht="16.5" thickBot="1" x14ac:dyDescent="0.3"/>
    <row r="47" spans="1:4" ht="16.5" thickBot="1" x14ac:dyDescent="0.3">
      <c r="A47" s="27" t="s">
        <v>119</v>
      </c>
      <c r="B47" s="28" t="s">
        <v>120</v>
      </c>
      <c r="C47" s="28" t="s">
        <v>79</v>
      </c>
    </row>
    <row r="48" spans="1:4" ht="16.5" thickBot="1" x14ac:dyDescent="0.3">
      <c r="A48" s="29" t="s">
        <v>80</v>
      </c>
      <c r="B48" s="30" t="s">
        <v>121</v>
      </c>
      <c r="C48" s="31">
        <f>(52*'Novo Simulador'!C20)-(C17*6%)</f>
        <v>139.98480000000001</v>
      </c>
    </row>
    <row r="49" spans="1:3" ht="16.5" thickBot="1" x14ac:dyDescent="0.3">
      <c r="A49" s="29" t="s">
        <v>82</v>
      </c>
      <c r="B49" s="30" t="s">
        <v>122</v>
      </c>
      <c r="C49" s="31">
        <f>152.49*0.8</f>
        <v>121.99200000000002</v>
      </c>
    </row>
    <row r="50" spans="1:3" ht="16.5" thickBot="1" x14ac:dyDescent="0.3">
      <c r="A50" s="29" t="s">
        <v>84</v>
      </c>
      <c r="B50" s="30" t="s">
        <v>2</v>
      </c>
      <c r="C50" s="31">
        <v>3.7</v>
      </c>
    </row>
    <row r="51" spans="1:3" ht="16.5" thickBot="1" x14ac:dyDescent="0.3">
      <c r="A51" s="29" t="s">
        <v>86</v>
      </c>
      <c r="B51" s="30" t="s">
        <v>123</v>
      </c>
      <c r="C51" s="31">
        <v>10</v>
      </c>
    </row>
    <row r="52" spans="1:3" ht="16.5" thickBot="1" x14ac:dyDescent="0.3">
      <c r="A52" s="29" t="s">
        <v>88</v>
      </c>
      <c r="B52" s="30" t="s">
        <v>190</v>
      </c>
      <c r="C52" s="31">
        <v>90</v>
      </c>
    </row>
    <row r="53" spans="1:3" ht="16.5" thickBot="1" x14ac:dyDescent="0.3">
      <c r="A53" s="315" t="s">
        <v>94</v>
      </c>
      <c r="B53" s="316"/>
      <c r="C53" s="31">
        <f>SUM(C48:C52)</f>
        <v>365.67680000000001</v>
      </c>
    </row>
    <row r="56" spans="1:3" x14ac:dyDescent="0.25">
      <c r="A56" s="318" t="s">
        <v>124</v>
      </c>
      <c r="B56" s="318"/>
      <c r="C56" s="318"/>
    </row>
    <row r="57" spans="1:3" ht="16.5" thickBot="1" x14ac:dyDescent="0.3"/>
    <row r="58" spans="1:3" ht="16.5" thickBot="1" x14ac:dyDescent="0.3">
      <c r="A58" s="27">
        <v>2</v>
      </c>
      <c r="B58" s="28" t="s">
        <v>125</v>
      </c>
      <c r="C58" s="28" t="s">
        <v>79</v>
      </c>
    </row>
    <row r="59" spans="1:3" ht="16.5" thickBot="1" x14ac:dyDescent="0.3">
      <c r="A59" s="29" t="s">
        <v>97</v>
      </c>
      <c r="B59" s="30" t="s">
        <v>98</v>
      </c>
      <c r="C59" s="31">
        <f>C29</f>
        <v>238.17184000000003</v>
      </c>
    </row>
    <row r="60" spans="1:3" ht="16.5" thickBot="1" x14ac:dyDescent="0.3">
      <c r="A60" s="29" t="s">
        <v>104</v>
      </c>
      <c r="B60" s="30" t="s">
        <v>105</v>
      </c>
      <c r="C60" s="31">
        <f>D42</f>
        <v>576.62656000000004</v>
      </c>
    </row>
    <row r="61" spans="1:3" ht="16.5" thickBot="1" x14ac:dyDescent="0.3">
      <c r="A61" s="29" t="s">
        <v>119</v>
      </c>
      <c r="B61" s="30" t="s">
        <v>120</v>
      </c>
      <c r="C61" s="31">
        <f>C53</f>
        <v>365.67680000000001</v>
      </c>
    </row>
    <row r="62" spans="1:3" ht="16.5" thickBot="1" x14ac:dyDescent="0.3">
      <c r="A62" s="315" t="s">
        <v>94</v>
      </c>
      <c r="B62" s="316"/>
      <c r="C62" s="31">
        <f>SUM(C59:C61)</f>
        <v>1180.4752000000001</v>
      </c>
    </row>
    <row r="63" spans="1:3" x14ac:dyDescent="0.25">
      <c r="A63" s="35"/>
    </row>
    <row r="65" spans="1:4" x14ac:dyDescent="0.25">
      <c r="A65" s="317" t="s">
        <v>126</v>
      </c>
      <c r="B65" s="317"/>
      <c r="C65" s="317"/>
    </row>
    <row r="66" spans="1:4" ht="16.5" thickBot="1" x14ac:dyDescent="0.3"/>
    <row r="67" spans="1:4" ht="16.5" thickBot="1" x14ac:dyDescent="0.3">
      <c r="A67" s="27">
        <v>3</v>
      </c>
      <c r="B67" s="28" t="s">
        <v>127</v>
      </c>
      <c r="C67" s="28" t="s">
        <v>106</v>
      </c>
      <c r="D67" s="28" t="s">
        <v>79</v>
      </c>
    </row>
    <row r="68" spans="1:4" ht="16.5" thickBot="1" x14ac:dyDescent="0.3">
      <c r="A68" s="29" t="s">
        <v>80</v>
      </c>
      <c r="B68" s="36" t="s">
        <v>56</v>
      </c>
      <c r="C68" s="37">
        <v>4.1700000000000001E-3</v>
      </c>
      <c r="D68" s="31">
        <f>C68*($C$17+$C$59)</f>
        <v>7.5272329728000003</v>
      </c>
    </row>
    <row r="69" spans="1:4" ht="16.5" thickBot="1" x14ac:dyDescent="0.3">
      <c r="A69" s="29" t="s">
        <v>82</v>
      </c>
      <c r="B69" s="36" t="s">
        <v>128</v>
      </c>
      <c r="C69" s="37">
        <v>3.3E-4</v>
      </c>
      <c r="D69" s="31">
        <f t="shared" ref="D69:D73" si="1">C69*($C$17+$C$59)</f>
        <v>0.59568030719999998</v>
      </c>
    </row>
    <row r="70" spans="1:4" ht="16.5" thickBot="1" x14ac:dyDescent="0.3">
      <c r="A70" s="29" t="s">
        <v>84</v>
      </c>
      <c r="B70" s="36" t="s">
        <v>67</v>
      </c>
      <c r="C70" s="72">
        <v>3.2000000000000001E-2</v>
      </c>
      <c r="D70" s="31">
        <f t="shared" si="1"/>
        <v>57.76293888</v>
      </c>
    </row>
    <row r="71" spans="1:4" ht="16.5" thickBot="1" x14ac:dyDescent="0.3">
      <c r="A71" s="29" t="s">
        <v>86</v>
      </c>
      <c r="B71" s="36" t="s">
        <v>129</v>
      </c>
      <c r="C71" s="72">
        <v>1.9439999999999999E-2</v>
      </c>
      <c r="D71" s="31">
        <f t="shared" si="1"/>
        <v>35.090985369599998</v>
      </c>
    </row>
    <row r="72" spans="1:4" ht="16.5" customHeight="1" thickBot="1" x14ac:dyDescent="0.3">
      <c r="A72" s="29" t="s">
        <v>88</v>
      </c>
      <c r="B72" s="36" t="s">
        <v>130</v>
      </c>
      <c r="C72" s="72">
        <f>C42*C71</f>
        <v>7.1539200000000002E-3</v>
      </c>
      <c r="D72" s="31">
        <f t="shared" si="1"/>
        <v>12.9134826160128</v>
      </c>
    </row>
    <row r="73" spans="1:4" ht="16.5" thickBot="1" x14ac:dyDescent="0.3">
      <c r="A73" s="29" t="s">
        <v>112</v>
      </c>
      <c r="B73" s="36" t="s">
        <v>68</v>
      </c>
      <c r="C73" s="72">
        <v>8.0000000000000002E-3</v>
      </c>
      <c r="D73" s="31">
        <f t="shared" si="1"/>
        <v>14.44073472</v>
      </c>
    </row>
    <row r="74" spans="1:4" ht="16.5" thickBot="1" x14ac:dyDescent="0.3">
      <c r="A74" s="315" t="s">
        <v>94</v>
      </c>
      <c r="B74" s="316"/>
      <c r="C74" s="38">
        <f>SUM(C68:C73)</f>
        <v>7.1093920000000005E-2</v>
      </c>
      <c r="D74" s="31">
        <f>SUM(D68:D73)</f>
        <v>128.3310548656128</v>
      </c>
    </row>
    <row r="77" spans="1:4" x14ac:dyDescent="0.25">
      <c r="A77" s="317" t="s">
        <v>131</v>
      </c>
      <c r="B77" s="317"/>
      <c r="C77" s="317"/>
    </row>
    <row r="80" spans="1:4" x14ac:dyDescent="0.25">
      <c r="A80" s="318" t="s">
        <v>132</v>
      </c>
      <c r="B80" s="318"/>
      <c r="C80" s="318"/>
    </row>
    <row r="81" spans="1:4" ht="16.5" thickBot="1" x14ac:dyDescent="0.3">
      <c r="A81" s="33"/>
    </row>
    <row r="82" spans="1:4" ht="16.5" thickBot="1" x14ac:dyDescent="0.3">
      <c r="A82" s="27" t="s">
        <v>133</v>
      </c>
      <c r="B82" s="28" t="s">
        <v>134</v>
      </c>
      <c r="C82" s="28" t="s">
        <v>106</v>
      </c>
      <c r="D82" s="28" t="s">
        <v>79</v>
      </c>
    </row>
    <row r="83" spans="1:4" ht="16.5" thickBot="1" x14ac:dyDescent="0.3">
      <c r="A83" s="29" t="s">
        <v>80</v>
      </c>
      <c r="B83" s="30" t="s">
        <v>69</v>
      </c>
      <c r="C83" s="37">
        <v>0.11111</v>
      </c>
      <c r="D83" s="31">
        <f>C83*$C$17</f>
        <v>174.10048120000002</v>
      </c>
    </row>
    <row r="84" spans="1:4" ht="16.5" thickBot="1" x14ac:dyDescent="0.3">
      <c r="A84" s="29" t="s">
        <v>82</v>
      </c>
      <c r="B84" s="30" t="s">
        <v>70</v>
      </c>
      <c r="C84" s="37">
        <v>1.389E-2</v>
      </c>
      <c r="D84" s="31">
        <f t="shared" ref="D84:D88" si="2">C84*$C$17</f>
        <v>21.764518800000001</v>
      </c>
    </row>
    <row r="85" spans="1:4" ht="16.5" thickBot="1" x14ac:dyDescent="0.3">
      <c r="A85" s="29" t="s">
        <v>84</v>
      </c>
      <c r="B85" s="30" t="s">
        <v>71</v>
      </c>
      <c r="C85" s="37">
        <v>2.1000000000000001E-4</v>
      </c>
      <c r="D85" s="31">
        <f t="shared" si="2"/>
        <v>0.32905320000000005</v>
      </c>
    </row>
    <row r="86" spans="1:4" ht="16.5" thickBot="1" x14ac:dyDescent="0.3">
      <c r="A86" s="29" t="s">
        <v>86</v>
      </c>
      <c r="B86" s="30" t="s">
        <v>72</v>
      </c>
      <c r="C86" s="37">
        <v>2.7799999999999999E-3</v>
      </c>
      <c r="D86" s="31">
        <f t="shared" si="2"/>
        <v>4.3560376000000005</v>
      </c>
    </row>
    <row r="87" spans="1:4" ht="16.5" thickBot="1" x14ac:dyDescent="0.3">
      <c r="A87" s="29" t="s">
        <v>88</v>
      </c>
      <c r="B87" s="30" t="s">
        <v>73</v>
      </c>
      <c r="C87" s="37">
        <v>3.3300000000000001E-3</v>
      </c>
      <c r="D87" s="31">
        <f t="shared" si="2"/>
        <v>5.2178436000000001</v>
      </c>
    </row>
    <row r="88" spans="1:4" ht="16.5" thickBot="1" x14ac:dyDescent="0.3">
      <c r="A88" s="29" t="s">
        <v>112</v>
      </c>
      <c r="B88" s="30" t="s">
        <v>135</v>
      </c>
      <c r="C88" s="39">
        <v>0</v>
      </c>
      <c r="D88" s="31">
        <f t="shared" si="2"/>
        <v>0</v>
      </c>
    </row>
    <row r="89" spans="1:4" ht="16.5" thickBot="1" x14ac:dyDescent="0.3">
      <c r="A89" s="315" t="s">
        <v>117</v>
      </c>
      <c r="B89" s="316"/>
      <c r="C89" s="38">
        <f>SUM(C83:C88)</f>
        <v>0.13131999999999999</v>
      </c>
      <c r="D89" s="31">
        <f>SUM(D83:D88)</f>
        <v>205.76793440000003</v>
      </c>
    </row>
    <row r="92" spans="1:4" x14ac:dyDescent="0.25">
      <c r="A92" s="318" t="s">
        <v>136</v>
      </c>
      <c r="B92" s="318"/>
      <c r="C92" s="318"/>
    </row>
    <row r="93" spans="1:4" ht="16.5" thickBot="1" x14ac:dyDescent="0.3">
      <c r="A93" s="33"/>
    </row>
    <row r="94" spans="1:4" ht="16.5" thickBot="1" x14ac:dyDescent="0.3">
      <c r="A94" s="27" t="s">
        <v>137</v>
      </c>
      <c r="B94" s="28" t="s">
        <v>138</v>
      </c>
      <c r="C94" s="28" t="s">
        <v>106</v>
      </c>
      <c r="D94" s="28" t="s">
        <v>79</v>
      </c>
    </row>
    <row r="95" spans="1:4" ht="16.5" thickBot="1" x14ac:dyDescent="0.3">
      <c r="A95" s="29" t="s">
        <v>80</v>
      </c>
      <c r="B95" s="30" t="s">
        <v>139</v>
      </c>
      <c r="C95" s="39">
        <v>0</v>
      </c>
      <c r="D95" s="31">
        <f>C17*C95</f>
        <v>0</v>
      </c>
    </row>
    <row r="96" spans="1:4" ht="16.5" thickBot="1" x14ac:dyDescent="0.3">
      <c r="A96" s="315" t="s">
        <v>94</v>
      </c>
      <c r="B96" s="316"/>
      <c r="C96" s="39">
        <f>C95</f>
        <v>0</v>
      </c>
      <c r="D96" s="31">
        <f>D95</f>
        <v>0</v>
      </c>
    </row>
    <row r="99" spans="1:4" x14ac:dyDescent="0.25">
      <c r="A99" s="318" t="s">
        <v>140</v>
      </c>
      <c r="B99" s="318"/>
      <c r="C99" s="318"/>
    </row>
    <row r="100" spans="1:4" ht="16.5" thickBot="1" x14ac:dyDescent="0.3">
      <c r="A100" s="33"/>
    </row>
    <row r="101" spans="1:4" ht="16.5" thickBot="1" x14ac:dyDescent="0.3">
      <c r="A101" s="27">
        <v>4</v>
      </c>
      <c r="B101" s="28" t="s">
        <v>141</v>
      </c>
      <c r="C101" s="28" t="s">
        <v>79</v>
      </c>
    </row>
    <row r="102" spans="1:4" ht="16.5" thickBot="1" x14ac:dyDescent="0.3">
      <c r="A102" s="29" t="s">
        <v>133</v>
      </c>
      <c r="B102" s="30" t="s">
        <v>142</v>
      </c>
      <c r="C102" s="31">
        <f>D89</f>
        <v>205.76793440000003</v>
      </c>
      <c r="D102" s="49"/>
    </row>
    <row r="103" spans="1:4" ht="16.5" thickBot="1" x14ac:dyDescent="0.3">
      <c r="A103" s="29" t="s">
        <v>137</v>
      </c>
      <c r="B103" s="30" t="s">
        <v>143</v>
      </c>
      <c r="C103" s="31">
        <f>D96</f>
        <v>0</v>
      </c>
      <c r="D103" s="49"/>
    </row>
    <row r="104" spans="1:4" ht="16.5" thickBot="1" x14ac:dyDescent="0.3">
      <c r="A104" s="40" t="s">
        <v>80</v>
      </c>
      <c r="B104" s="30" t="s">
        <v>144</v>
      </c>
      <c r="C104" s="31">
        <f>(C102+C103)*C42</f>
        <v>75.722599859200017</v>
      </c>
      <c r="D104" s="49"/>
    </row>
    <row r="105" spans="1:4" ht="16.5" thickBot="1" x14ac:dyDescent="0.3">
      <c r="A105" s="315" t="s">
        <v>94</v>
      </c>
      <c r="B105" s="316"/>
      <c r="C105" s="31">
        <f>SUM(C102:C104)</f>
        <v>281.49053425920005</v>
      </c>
      <c r="D105" s="49"/>
    </row>
    <row r="108" spans="1:4" x14ac:dyDescent="0.25">
      <c r="A108" s="317" t="s">
        <v>145</v>
      </c>
      <c r="B108" s="317"/>
      <c r="C108" s="317"/>
    </row>
    <row r="109" spans="1:4" ht="16.5" thickBot="1" x14ac:dyDescent="0.3"/>
    <row r="110" spans="1:4" ht="16.5" thickBot="1" x14ac:dyDescent="0.3">
      <c r="A110" s="27">
        <v>5</v>
      </c>
      <c r="B110" s="41" t="s">
        <v>146</v>
      </c>
      <c r="C110" s="28" t="s">
        <v>79</v>
      </c>
    </row>
    <row r="111" spans="1:4" ht="16.5" thickBot="1" x14ac:dyDescent="0.3">
      <c r="A111" s="29" t="s">
        <v>80</v>
      </c>
      <c r="B111" s="30" t="s">
        <v>191</v>
      </c>
      <c r="C111" s="55">
        <f>1.23%*(C17+C62+D74+C105)</f>
        <v>38.8337665062352</v>
      </c>
    </row>
    <row r="112" spans="1:4" ht="16.5" thickBot="1" x14ac:dyDescent="0.3">
      <c r="A112" s="29" t="s">
        <v>82</v>
      </c>
      <c r="B112" s="30" t="s">
        <v>3</v>
      </c>
      <c r="C112" s="55">
        <v>0</v>
      </c>
    </row>
    <row r="113" spans="1:4" ht="16.5" thickBot="1" x14ac:dyDescent="0.3">
      <c r="A113" s="29" t="s">
        <v>84</v>
      </c>
      <c r="B113" s="30" t="s">
        <v>147</v>
      </c>
      <c r="C113" s="55">
        <v>0</v>
      </c>
    </row>
    <row r="114" spans="1:4" ht="16.5" thickBot="1" x14ac:dyDescent="0.3">
      <c r="A114" s="29" t="s">
        <v>86</v>
      </c>
      <c r="B114" s="30" t="s">
        <v>192</v>
      </c>
      <c r="C114" s="55">
        <v>0</v>
      </c>
    </row>
    <row r="115" spans="1:4" ht="16.5" thickBot="1" x14ac:dyDescent="0.3">
      <c r="A115" s="315" t="s">
        <v>117</v>
      </c>
      <c r="B115" s="316"/>
      <c r="C115" s="55">
        <f>SUM(C111:C114)</f>
        <v>38.8337665062352</v>
      </c>
    </row>
    <row r="118" spans="1:4" x14ac:dyDescent="0.25">
      <c r="A118" s="317" t="s">
        <v>148</v>
      </c>
      <c r="B118" s="317"/>
      <c r="C118" s="317"/>
    </row>
    <row r="119" spans="1:4" ht="16.5" thickBot="1" x14ac:dyDescent="0.3"/>
    <row r="120" spans="1:4" ht="16.5" thickBot="1" x14ac:dyDescent="0.3">
      <c r="A120" s="27">
        <v>6</v>
      </c>
      <c r="B120" s="41" t="s">
        <v>149</v>
      </c>
      <c r="C120" s="28" t="s">
        <v>106</v>
      </c>
      <c r="D120" s="28" t="s">
        <v>79</v>
      </c>
    </row>
    <row r="121" spans="1:4" ht="16.5" thickBot="1" x14ac:dyDescent="0.3">
      <c r="A121" s="29" t="s">
        <v>80</v>
      </c>
      <c r="B121" s="30" t="s">
        <v>33</v>
      </c>
      <c r="C121" s="73">
        <v>0.03</v>
      </c>
      <c r="D121" s="31">
        <f>C121*C138</f>
        <v>95.88151666893144</v>
      </c>
    </row>
    <row r="122" spans="1:4" ht="16.5" thickBot="1" x14ac:dyDescent="0.3">
      <c r="A122" s="29" t="s">
        <v>82</v>
      </c>
      <c r="B122" s="30" t="s">
        <v>34</v>
      </c>
      <c r="C122" s="73">
        <v>6.7900000000000002E-2</v>
      </c>
      <c r="D122" s="31">
        <f>(D121+C138)*C122</f>
        <v>223.52218770916863</v>
      </c>
    </row>
    <row r="123" spans="1:4" ht="16.5" thickBot="1" x14ac:dyDescent="0.3">
      <c r="A123" s="29" t="s">
        <v>84</v>
      </c>
      <c r="B123" s="30" t="s">
        <v>4</v>
      </c>
      <c r="C123" s="34">
        <f>SUM(C124:C126)</f>
        <v>0.14250000000000002</v>
      </c>
      <c r="D123" s="31">
        <f>((D121+D122+C138)/(100%-C123)) - (D121+D122+C138)</f>
        <v>584.20085370414472</v>
      </c>
    </row>
    <row r="124" spans="1:4" ht="16.5" thickBot="1" x14ac:dyDescent="0.3">
      <c r="A124" s="29"/>
      <c r="B124" s="42" t="s">
        <v>150</v>
      </c>
      <c r="C124" s="50">
        <v>9.2499999999999999E-2</v>
      </c>
      <c r="D124" s="43"/>
    </row>
    <row r="125" spans="1:4" ht="16.5" thickBot="1" x14ac:dyDescent="0.3">
      <c r="A125" s="29"/>
      <c r="B125" s="42" t="s">
        <v>151</v>
      </c>
      <c r="C125" s="50">
        <v>0</v>
      </c>
      <c r="D125" s="43"/>
    </row>
    <row r="126" spans="1:4" ht="16.5" thickBot="1" x14ac:dyDescent="0.3">
      <c r="A126" s="29"/>
      <c r="B126" s="42" t="s">
        <v>152</v>
      </c>
      <c r="C126" s="44">
        <v>0.05</v>
      </c>
      <c r="D126" s="43"/>
    </row>
    <row r="127" spans="1:4" ht="16.5" thickBot="1" x14ac:dyDescent="0.3">
      <c r="A127" s="315" t="s">
        <v>117</v>
      </c>
      <c r="B127" s="316"/>
      <c r="C127" s="34"/>
      <c r="D127" s="31">
        <f>D121+D122+D123</f>
        <v>903.60455808224481</v>
      </c>
    </row>
    <row r="130" spans="1:3" x14ac:dyDescent="0.25">
      <c r="A130" s="317" t="s">
        <v>153</v>
      </c>
      <c r="B130" s="317"/>
      <c r="C130" s="317"/>
    </row>
    <row r="131" spans="1:3" ht="16.5" thickBot="1" x14ac:dyDescent="0.3"/>
    <row r="132" spans="1:3" ht="16.5" thickBot="1" x14ac:dyDescent="0.3">
      <c r="A132" s="27"/>
      <c r="B132" s="28" t="s">
        <v>154</v>
      </c>
      <c r="C132" s="28" t="s">
        <v>79</v>
      </c>
    </row>
    <row r="133" spans="1:3" ht="16.5" thickBot="1" x14ac:dyDescent="0.3">
      <c r="A133" s="45" t="s">
        <v>80</v>
      </c>
      <c r="B133" s="30" t="s">
        <v>77</v>
      </c>
      <c r="C133" s="46">
        <f>C17</f>
        <v>1566.92</v>
      </c>
    </row>
    <row r="134" spans="1:3" ht="16.5" thickBot="1" x14ac:dyDescent="0.3">
      <c r="A134" s="45" t="s">
        <v>82</v>
      </c>
      <c r="B134" s="30" t="s">
        <v>95</v>
      </c>
      <c r="C134" s="46">
        <f>C62</f>
        <v>1180.4752000000001</v>
      </c>
    </row>
    <row r="135" spans="1:3" ht="16.5" thickBot="1" x14ac:dyDescent="0.3">
      <c r="A135" s="45" t="s">
        <v>84</v>
      </c>
      <c r="B135" s="30" t="s">
        <v>126</v>
      </c>
      <c r="C135" s="46">
        <f>D74</f>
        <v>128.3310548656128</v>
      </c>
    </row>
    <row r="136" spans="1:3" ht="16.5" thickBot="1" x14ac:dyDescent="0.3">
      <c r="A136" s="45" t="s">
        <v>86</v>
      </c>
      <c r="B136" s="30" t="s">
        <v>131</v>
      </c>
      <c r="C136" s="47">
        <f>C105</f>
        <v>281.49053425920005</v>
      </c>
    </row>
    <row r="137" spans="1:3" ht="16.5" thickBot="1" x14ac:dyDescent="0.3">
      <c r="A137" s="45" t="s">
        <v>88</v>
      </c>
      <c r="B137" s="30" t="s">
        <v>145</v>
      </c>
      <c r="C137" s="46">
        <f>C115</f>
        <v>38.8337665062352</v>
      </c>
    </row>
    <row r="138" spans="1:3" ht="16.5" thickBot="1" x14ac:dyDescent="0.3">
      <c r="A138" s="315" t="s">
        <v>155</v>
      </c>
      <c r="B138" s="316"/>
      <c r="C138" s="46">
        <f>SUM(C133:C137)</f>
        <v>3196.0505556310482</v>
      </c>
    </row>
    <row r="139" spans="1:3" ht="16.5" thickBot="1" x14ac:dyDescent="0.3">
      <c r="A139" s="45" t="s">
        <v>112</v>
      </c>
      <c r="B139" s="30" t="s">
        <v>156</v>
      </c>
      <c r="C139" s="46">
        <f>D127</f>
        <v>903.60455808224481</v>
      </c>
    </row>
    <row r="140" spans="1:3" ht="16.5" thickBot="1" x14ac:dyDescent="0.3">
      <c r="A140" s="315" t="s">
        <v>157</v>
      </c>
      <c r="B140" s="316"/>
      <c r="C140" s="46">
        <f>C139+C138</f>
        <v>4099.6551137132928</v>
      </c>
    </row>
  </sheetData>
  <mergeCells count="32">
    <mergeCell ref="A138:B138"/>
    <mergeCell ref="A140:B140"/>
    <mergeCell ref="A105:B105"/>
    <mergeCell ref="A108:C108"/>
    <mergeCell ref="A115:B115"/>
    <mergeCell ref="A118:C118"/>
    <mergeCell ref="A127:B127"/>
    <mergeCell ref="A130:C130"/>
    <mergeCell ref="A99:C99"/>
    <mergeCell ref="A45:C45"/>
    <mergeCell ref="A53:B53"/>
    <mergeCell ref="A56:C56"/>
    <mergeCell ref="A62:B62"/>
    <mergeCell ref="A65:C65"/>
    <mergeCell ref="A74:B74"/>
    <mergeCell ref="A77:C77"/>
    <mergeCell ref="A80:C80"/>
    <mergeCell ref="A89:B89"/>
    <mergeCell ref="A92:C92"/>
    <mergeCell ref="A96:B96"/>
    <mergeCell ref="A42:B42"/>
    <mergeCell ref="A1:D1"/>
    <mergeCell ref="A2:D2"/>
    <mergeCell ref="A3:D3"/>
    <mergeCell ref="A7:C7"/>
    <mergeCell ref="A17:B17"/>
    <mergeCell ref="A20:C20"/>
    <mergeCell ref="A22:C22"/>
    <mergeCell ref="A27:B27"/>
    <mergeCell ref="A28:B28"/>
    <mergeCell ref="A29:B29"/>
    <mergeCell ref="A31:D31"/>
  </mergeCells>
  <pageMargins left="0.511811024" right="0.511811024" top="0.78740157499999996" bottom="0.78740157499999996" header="0.31496062000000002" footer="0.31496062000000002"/>
  <pageSetup paperSize="9" scale="82"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16A23-B616-4D42-B709-D2DFB2925EB9}">
  <sheetPr>
    <tabColor theme="5" tint="0.59999389629810485"/>
    <pageSetUpPr fitToPage="1"/>
  </sheetPr>
  <dimension ref="A1:I185"/>
  <sheetViews>
    <sheetView topLeftCell="A17" zoomScale="70" zoomScaleNormal="70" workbookViewId="0">
      <selection activeCell="I18" sqref="I18"/>
    </sheetView>
  </sheetViews>
  <sheetFormatPr defaultRowHeight="15" x14ac:dyDescent="0.25"/>
  <cols>
    <col min="1" max="1" width="4.85546875" customWidth="1"/>
    <col min="2" max="2" width="30.7109375" customWidth="1"/>
    <col min="3" max="3" width="10.85546875" bestFit="1" customWidth="1"/>
    <col min="4" max="4" width="10.85546875" customWidth="1"/>
    <col min="6" max="6" width="10.140625" customWidth="1"/>
    <col min="7" max="7" width="11.140625" customWidth="1"/>
    <col min="8" max="8" width="10.42578125" customWidth="1"/>
    <col min="9" max="9" width="12.85546875" customWidth="1"/>
  </cols>
  <sheetData>
    <row r="1" spans="1:9" ht="18.75" x14ac:dyDescent="0.3">
      <c r="A1" s="300">
        <v>1</v>
      </c>
      <c r="B1" s="336" t="s">
        <v>356</v>
      </c>
      <c r="C1" s="337"/>
      <c r="D1" s="223"/>
      <c r="E1" s="301">
        <v>9</v>
      </c>
      <c r="F1" s="302" t="s">
        <v>357</v>
      </c>
      <c r="G1" s="224"/>
      <c r="H1" s="225"/>
      <c r="I1" s="225"/>
    </row>
    <row r="2" spans="1:9" x14ac:dyDescent="0.25">
      <c r="A2" s="236"/>
      <c r="B2" s="236"/>
      <c r="C2" s="239"/>
      <c r="D2" s="239"/>
      <c r="E2" s="236"/>
      <c r="F2" s="237"/>
      <c r="G2" s="237"/>
      <c r="H2" s="238"/>
      <c r="I2" s="238"/>
    </row>
    <row r="3" spans="1:9" x14ac:dyDescent="0.25">
      <c r="A3" s="236"/>
      <c r="B3" s="236"/>
      <c r="C3" s="236"/>
      <c r="D3" s="236"/>
      <c r="E3" s="236"/>
      <c r="F3" s="237"/>
      <c r="G3" s="237"/>
      <c r="H3" s="238"/>
      <c r="I3" s="238"/>
    </row>
    <row r="4" spans="1:9" ht="15.75" thickBot="1" x14ac:dyDescent="0.3">
      <c r="A4" s="227"/>
      <c r="B4" s="226"/>
      <c r="C4" s="227"/>
      <c r="D4" s="227"/>
      <c r="E4" s="227"/>
      <c r="F4" s="240"/>
      <c r="G4" s="240"/>
      <c r="H4" s="241"/>
      <c r="I4" s="241"/>
    </row>
    <row r="5" spans="1:9" ht="24" customHeight="1" thickTop="1" x14ac:dyDescent="0.35">
      <c r="A5" s="338" t="s">
        <v>366</v>
      </c>
      <c r="B5" s="339"/>
      <c r="C5" s="339"/>
      <c r="D5" s="339"/>
      <c r="E5" s="339"/>
      <c r="F5" s="339"/>
      <c r="G5" s="339"/>
      <c r="H5" s="339"/>
      <c r="I5" s="339"/>
    </row>
    <row r="6" spans="1:9" ht="23.25" customHeight="1" x14ac:dyDescent="0.35">
      <c r="A6" s="340" t="str">
        <f>CONCATENATE("Item ",A1," - ",B1)</f>
        <v>Item 1 - ASG</v>
      </c>
      <c r="B6" s="341"/>
      <c r="C6" s="341"/>
      <c r="D6" s="341"/>
      <c r="E6" s="341"/>
      <c r="F6" s="341"/>
      <c r="G6" s="341"/>
      <c r="H6" s="341"/>
      <c r="I6" s="341"/>
    </row>
    <row r="7" spans="1:9" ht="24" customHeight="1" thickBot="1" x14ac:dyDescent="0.4">
      <c r="A7" s="342" t="s">
        <v>496</v>
      </c>
      <c r="B7" s="343"/>
      <c r="C7" s="343"/>
      <c r="D7" s="343"/>
      <c r="E7" s="343"/>
      <c r="F7" s="343"/>
      <c r="G7" s="343"/>
      <c r="H7" s="343"/>
      <c r="I7" s="343"/>
    </row>
    <row r="8" spans="1:9" ht="15.75" thickTop="1" x14ac:dyDescent="0.25">
      <c r="A8" s="229"/>
      <c r="B8" s="232"/>
      <c r="C8" s="229"/>
      <c r="D8" s="229"/>
      <c r="E8" s="229"/>
      <c r="F8" s="224"/>
      <c r="G8" s="224"/>
      <c r="H8" s="242"/>
      <c r="I8" s="242"/>
    </row>
    <row r="9" spans="1:9" ht="29.25" customHeight="1" x14ac:dyDescent="0.25">
      <c r="A9" s="242"/>
      <c r="B9" s="228"/>
      <c r="C9" s="344" t="s">
        <v>358</v>
      </c>
      <c r="D9" s="345"/>
      <c r="E9" s="346" t="s">
        <v>359</v>
      </c>
      <c r="F9" s="346"/>
      <c r="G9" s="243"/>
      <c r="H9" s="243"/>
      <c r="I9" s="243"/>
    </row>
    <row r="10" spans="1:9" x14ac:dyDescent="0.25">
      <c r="A10" s="244"/>
      <c r="B10" s="230" t="s">
        <v>3</v>
      </c>
      <c r="C10" s="347">
        <f>I134</f>
        <v>133305.38999999996</v>
      </c>
      <c r="D10" s="348"/>
      <c r="E10" s="349">
        <f>C10/12/9</f>
        <v>1234.3091666666662</v>
      </c>
      <c r="F10" s="349"/>
      <c r="G10" s="243"/>
      <c r="H10" s="243"/>
      <c r="I10" s="243"/>
    </row>
    <row r="11" spans="1:9" x14ac:dyDescent="0.25">
      <c r="A11" s="244"/>
      <c r="B11" s="230" t="s">
        <v>147</v>
      </c>
      <c r="C11" s="347">
        <f>I151</f>
        <v>28707.93</v>
      </c>
      <c r="D11" s="348"/>
      <c r="E11" s="349">
        <f t="shared" ref="E11:E12" si="0">C11/12/9</f>
        <v>265.81416666666667</v>
      </c>
      <c r="F11" s="349"/>
      <c r="G11" s="243"/>
      <c r="H11" s="243"/>
      <c r="I11" s="243"/>
    </row>
    <row r="12" spans="1:9" x14ac:dyDescent="0.25">
      <c r="A12" s="244"/>
      <c r="B12" s="230" t="s">
        <v>206</v>
      </c>
      <c r="C12" s="347">
        <f>I183</f>
        <v>7002.47</v>
      </c>
      <c r="D12" s="348"/>
      <c r="E12" s="349">
        <f t="shared" si="0"/>
        <v>64.837685185185194</v>
      </c>
      <c r="F12" s="349"/>
      <c r="G12" s="243"/>
      <c r="H12" s="243"/>
      <c r="I12" s="243"/>
    </row>
    <row r="13" spans="1:9" x14ac:dyDescent="0.25">
      <c r="A13" s="231"/>
      <c r="B13" s="232"/>
      <c r="C13" s="353">
        <f t="shared" ref="C13" si="1">SUM(C10:C12)</f>
        <v>169015.78999999995</v>
      </c>
      <c r="D13" s="353"/>
      <c r="E13" s="354">
        <f>SUM(E10:F12)</f>
        <v>1564.9610185185181</v>
      </c>
      <c r="F13" s="354"/>
      <c r="G13" s="245"/>
      <c r="H13" s="246"/>
      <c r="I13" s="246"/>
    </row>
    <row r="14" spans="1:9" x14ac:dyDescent="0.25">
      <c r="A14" s="231"/>
      <c r="B14" s="232"/>
      <c r="C14" s="229"/>
      <c r="D14" s="229"/>
      <c r="E14" s="229"/>
      <c r="F14" s="224"/>
      <c r="G14" s="224"/>
      <c r="H14" s="225"/>
      <c r="I14" s="225"/>
    </row>
    <row r="15" spans="1:9" ht="15.75" customHeight="1" x14ac:dyDescent="0.25">
      <c r="A15" s="355" t="str">
        <f>B$1</f>
        <v>ASG</v>
      </c>
      <c r="B15" s="355"/>
      <c r="C15" s="355"/>
      <c r="D15" s="355"/>
      <c r="E15" s="355"/>
      <c r="F15" s="355"/>
      <c r="G15" s="355"/>
      <c r="H15" s="355"/>
      <c r="I15" s="355"/>
    </row>
    <row r="16" spans="1:9" ht="15.75" customHeight="1" x14ac:dyDescent="0.25">
      <c r="A16" s="356" t="s">
        <v>480</v>
      </c>
      <c r="B16" s="356"/>
      <c r="C16" s="356"/>
      <c r="D16" s="356"/>
      <c r="E16" s="356"/>
      <c r="F16" s="356"/>
      <c r="G16" s="356"/>
      <c r="H16" s="356"/>
      <c r="I16" s="356"/>
    </row>
    <row r="17" spans="1:9" ht="51" customHeight="1" x14ac:dyDescent="0.25">
      <c r="A17" s="233" t="s">
        <v>234</v>
      </c>
      <c r="B17" s="247" t="s">
        <v>360</v>
      </c>
      <c r="C17" s="233" t="s">
        <v>361</v>
      </c>
      <c r="D17" s="233" t="s">
        <v>481</v>
      </c>
      <c r="E17" s="233" t="s">
        <v>362</v>
      </c>
      <c r="F17" s="234" t="s">
        <v>482</v>
      </c>
      <c r="G17" s="234" t="s">
        <v>363</v>
      </c>
      <c r="H17" s="235" t="s">
        <v>364</v>
      </c>
      <c r="I17" s="235" t="s">
        <v>365</v>
      </c>
    </row>
    <row r="18" spans="1:9" ht="76.5" x14ac:dyDescent="0.25">
      <c r="A18" s="248">
        <v>1</v>
      </c>
      <c r="B18" s="249" t="s">
        <v>345</v>
      </c>
      <c r="C18" s="250" t="s">
        <v>205</v>
      </c>
      <c r="D18" s="250" t="s">
        <v>396</v>
      </c>
      <c r="E18" s="251" t="s">
        <v>209</v>
      </c>
      <c r="F18" s="252">
        <v>6</v>
      </c>
      <c r="G18" s="253">
        <v>12</v>
      </c>
      <c r="H18" s="254">
        <v>14.12</v>
      </c>
      <c r="I18" s="254">
        <v>169.44</v>
      </c>
    </row>
    <row r="19" spans="1:9" ht="25.5" x14ac:dyDescent="0.25">
      <c r="A19" s="248">
        <v>2</v>
      </c>
      <c r="B19" s="249" t="s">
        <v>344</v>
      </c>
      <c r="C19" s="250" t="s">
        <v>367</v>
      </c>
      <c r="D19" s="250" t="s">
        <v>397</v>
      </c>
      <c r="E19" s="251" t="s">
        <v>209</v>
      </c>
      <c r="F19" s="252">
        <v>6</v>
      </c>
      <c r="G19" s="253">
        <v>6</v>
      </c>
      <c r="H19" s="254">
        <v>10.46</v>
      </c>
      <c r="I19" s="254">
        <v>62.760000000000005</v>
      </c>
    </row>
    <row r="20" spans="1:9" ht="38.25" x14ac:dyDescent="0.25">
      <c r="A20" s="248">
        <v>3</v>
      </c>
      <c r="B20" s="249" t="s">
        <v>343</v>
      </c>
      <c r="C20" s="250" t="s">
        <v>265</v>
      </c>
      <c r="D20" s="250" t="s">
        <v>483</v>
      </c>
      <c r="E20" s="251" t="s">
        <v>209</v>
      </c>
      <c r="F20" s="252">
        <v>25</v>
      </c>
      <c r="G20" s="253">
        <v>150</v>
      </c>
      <c r="H20" s="254">
        <v>10.94</v>
      </c>
      <c r="I20" s="254">
        <v>1641</v>
      </c>
    </row>
    <row r="21" spans="1:9" ht="63.75" x14ac:dyDescent="0.25">
      <c r="A21" s="248">
        <v>4</v>
      </c>
      <c r="B21" s="249" t="s">
        <v>342</v>
      </c>
      <c r="C21" s="250"/>
      <c r="D21" s="250" t="s">
        <v>484</v>
      </c>
      <c r="E21" s="251" t="s">
        <v>368</v>
      </c>
      <c r="F21" s="252">
        <v>2</v>
      </c>
      <c r="G21" s="253">
        <v>24</v>
      </c>
      <c r="H21" s="254">
        <v>59.4</v>
      </c>
      <c r="I21" s="254">
        <v>1425.6</v>
      </c>
    </row>
    <row r="22" spans="1:9" ht="76.5" x14ac:dyDescent="0.25">
      <c r="A22" s="248">
        <v>5</v>
      </c>
      <c r="B22" s="249" t="s">
        <v>341</v>
      </c>
      <c r="C22" s="250"/>
      <c r="D22" s="250" t="s">
        <v>397</v>
      </c>
      <c r="E22" s="251" t="s">
        <v>209</v>
      </c>
      <c r="F22" s="252">
        <v>3</v>
      </c>
      <c r="G22" s="253">
        <v>3</v>
      </c>
      <c r="H22" s="254">
        <v>40.82</v>
      </c>
      <c r="I22" s="254">
        <v>122.46000000000001</v>
      </c>
    </row>
    <row r="23" spans="1:9" ht="25.5" x14ac:dyDescent="0.25">
      <c r="A23" s="248">
        <v>6</v>
      </c>
      <c r="B23" s="249" t="s">
        <v>340</v>
      </c>
      <c r="C23" s="250"/>
      <c r="D23" s="250" t="s">
        <v>396</v>
      </c>
      <c r="E23" s="251" t="s">
        <v>209</v>
      </c>
      <c r="F23" s="252">
        <v>2</v>
      </c>
      <c r="G23" s="253">
        <v>4</v>
      </c>
      <c r="H23" s="254">
        <v>24.3</v>
      </c>
      <c r="I23" s="254">
        <v>97.2</v>
      </c>
    </row>
    <row r="24" spans="1:9" ht="25.5" x14ac:dyDescent="0.25">
      <c r="A24" s="248">
        <v>7</v>
      </c>
      <c r="B24" s="249" t="s">
        <v>339</v>
      </c>
      <c r="C24" s="250"/>
      <c r="D24" s="250" t="s">
        <v>397</v>
      </c>
      <c r="E24" s="251" t="s">
        <v>209</v>
      </c>
      <c r="F24" s="252">
        <v>3</v>
      </c>
      <c r="G24" s="253">
        <v>3</v>
      </c>
      <c r="H24" s="254">
        <v>13.67</v>
      </c>
      <c r="I24" s="254">
        <v>41.01</v>
      </c>
    </row>
    <row r="25" spans="1:9" ht="51" x14ac:dyDescent="0.25">
      <c r="A25" s="248">
        <v>8</v>
      </c>
      <c r="B25" s="249" t="s">
        <v>338</v>
      </c>
      <c r="C25" s="250"/>
      <c r="D25" s="250" t="s">
        <v>397</v>
      </c>
      <c r="E25" s="251" t="s">
        <v>209</v>
      </c>
      <c r="F25" s="252">
        <v>2</v>
      </c>
      <c r="G25" s="253">
        <v>2</v>
      </c>
      <c r="H25" s="254">
        <v>89.96</v>
      </c>
      <c r="I25" s="254">
        <v>179.92</v>
      </c>
    </row>
    <row r="26" spans="1:9" ht="51" x14ac:dyDescent="0.25">
      <c r="A26" s="248">
        <v>9</v>
      </c>
      <c r="B26" s="249" t="s">
        <v>337</v>
      </c>
      <c r="C26" s="250"/>
      <c r="D26" s="250" t="s">
        <v>396</v>
      </c>
      <c r="E26" s="251" t="s">
        <v>209</v>
      </c>
      <c r="F26" s="252">
        <v>5</v>
      </c>
      <c r="G26" s="253">
        <v>10</v>
      </c>
      <c r="H26" s="254">
        <v>20.83</v>
      </c>
      <c r="I26" s="254">
        <v>208.29999999999998</v>
      </c>
    </row>
    <row r="27" spans="1:9" ht="25.5" x14ac:dyDescent="0.25">
      <c r="A27" s="248">
        <v>10</v>
      </c>
      <c r="B27" s="249" t="s">
        <v>369</v>
      </c>
      <c r="C27" s="255"/>
      <c r="D27" s="255" t="s">
        <v>397</v>
      </c>
      <c r="E27" s="251" t="s">
        <v>370</v>
      </c>
      <c r="F27" s="252">
        <v>1</v>
      </c>
      <c r="G27" s="256">
        <v>1</v>
      </c>
      <c r="H27" s="254">
        <v>149.13</v>
      </c>
      <c r="I27" s="254">
        <v>149.13</v>
      </c>
    </row>
    <row r="28" spans="1:9" ht="25.5" x14ac:dyDescent="0.25">
      <c r="A28" s="248">
        <v>11</v>
      </c>
      <c r="B28" s="249" t="s">
        <v>336</v>
      </c>
      <c r="C28" s="255"/>
      <c r="D28" s="255" t="s">
        <v>483</v>
      </c>
      <c r="E28" s="251" t="s">
        <v>370</v>
      </c>
      <c r="F28" s="252">
        <v>5</v>
      </c>
      <c r="G28" s="256">
        <v>30</v>
      </c>
      <c r="H28" s="254">
        <v>121.25</v>
      </c>
      <c r="I28" s="254">
        <v>3637.5</v>
      </c>
    </row>
    <row r="29" spans="1:9" ht="38.25" x14ac:dyDescent="0.25">
      <c r="A29" s="248">
        <v>12</v>
      </c>
      <c r="B29" s="249" t="s">
        <v>335</v>
      </c>
      <c r="C29" s="255"/>
      <c r="D29" s="255" t="s">
        <v>397</v>
      </c>
      <c r="E29" s="255" t="s">
        <v>209</v>
      </c>
      <c r="F29" s="252">
        <v>2</v>
      </c>
      <c r="G29" s="256">
        <v>2</v>
      </c>
      <c r="H29" s="254">
        <v>142.99</v>
      </c>
      <c r="I29" s="254">
        <v>285.98</v>
      </c>
    </row>
    <row r="30" spans="1:9" ht="25.5" x14ac:dyDescent="0.25">
      <c r="A30" s="248">
        <v>13</v>
      </c>
      <c r="B30" s="249" t="s">
        <v>334</v>
      </c>
      <c r="C30" s="255"/>
      <c r="D30" s="255" t="s">
        <v>396</v>
      </c>
      <c r="E30" s="255" t="s">
        <v>209</v>
      </c>
      <c r="F30" s="252">
        <v>10</v>
      </c>
      <c r="G30" s="256">
        <v>20</v>
      </c>
      <c r="H30" s="254">
        <v>12</v>
      </c>
      <c r="I30" s="254">
        <v>240</v>
      </c>
    </row>
    <row r="31" spans="1:9" ht="25.5" x14ac:dyDescent="0.25">
      <c r="A31" s="248">
        <v>14</v>
      </c>
      <c r="B31" s="249" t="s">
        <v>371</v>
      </c>
      <c r="C31" s="255"/>
      <c r="D31" s="255" t="s">
        <v>397</v>
      </c>
      <c r="E31" s="255" t="s">
        <v>209</v>
      </c>
      <c r="F31" s="252">
        <v>2</v>
      </c>
      <c r="G31" s="256">
        <v>2</v>
      </c>
      <c r="H31" s="254">
        <v>30.49</v>
      </c>
      <c r="I31" s="254">
        <v>60.98</v>
      </c>
    </row>
    <row r="32" spans="1:9" ht="25.5" x14ac:dyDescent="0.25">
      <c r="A32" s="248">
        <v>15</v>
      </c>
      <c r="B32" s="249" t="s">
        <v>333</v>
      </c>
      <c r="C32" s="255"/>
      <c r="D32" s="255" t="s">
        <v>397</v>
      </c>
      <c r="E32" s="255" t="s">
        <v>209</v>
      </c>
      <c r="F32" s="252">
        <v>1</v>
      </c>
      <c r="G32" s="256">
        <v>1</v>
      </c>
      <c r="H32" s="254">
        <v>337.11</v>
      </c>
      <c r="I32" s="254">
        <v>337.11</v>
      </c>
    </row>
    <row r="33" spans="1:9" ht="25.5" x14ac:dyDescent="0.25">
      <c r="A33" s="248">
        <v>16</v>
      </c>
      <c r="B33" s="249" t="s">
        <v>332</v>
      </c>
      <c r="C33" s="255"/>
      <c r="D33" s="255" t="s">
        <v>397</v>
      </c>
      <c r="E33" s="255" t="s">
        <v>209</v>
      </c>
      <c r="F33" s="252">
        <v>2</v>
      </c>
      <c r="G33" s="256">
        <v>2</v>
      </c>
      <c r="H33" s="254">
        <v>28.86</v>
      </c>
      <c r="I33" s="254">
        <v>57.72</v>
      </c>
    </row>
    <row r="34" spans="1:9" x14ac:dyDescent="0.25">
      <c r="A34" s="248">
        <v>17</v>
      </c>
      <c r="B34" s="249" t="s">
        <v>331</v>
      </c>
      <c r="C34" s="255"/>
      <c r="D34" s="255" t="s">
        <v>397</v>
      </c>
      <c r="E34" s="255" t="s">
        <v>209</v>
      </c>
      <c r="F34" s="252">
        <v>2</v>
      </c>
      <c r="G34" s="256">
        <v>2</v>
      </c>
      <c r="H34" s="254">
        <v>45.89</v>
      </c>
      <c r="I34" s="254">
        <v>91.78</v>
      </c>
    </row>
    <row r="35" spans="1:9" ht="165.75" x14ac:dyDescent="0.25">
      <c r="A35" s="248">
        <v>18</v>
      </c>
      <c r="B35" s="249" t="s">
        <v>330</v>
      </c>
      <c r="C35" s="255"/>
      <c r="D35" s="255" t="s">
        <v>397</v>
      </c>
      <c r="E35" s="255" t="s">
        <v>209</v>
      </c>
      <c r="F35" s="252">
        <v>2</v>
      </c>
      <c r="G35" s="256">
        <v>2</v>
      </c>
      <c r="H35" s="254">
        <v>99.71</v>
      </c>
      <c r="I35" s="254">
        <v>199.42</v>
      </c>
    </row>
    <row r="36" spans="1:9" ht="127.5" x14ac:dyDescent="0.25">
      <c r="A36" s="248">
        <v>19</v>
      </c>
      <c r="B36" s="249" t="s">
        <v>372</v>
      </c>
      <c r="C36" s="255"/>
      <c r="D36" s="255" t="s">
        <v>396</v>
      </c>
      <c r="E36" s="255" t="s">
        <v>209</v>
      </c>
      <c r="F36" s="252">
        <v>20</v>
      </c>
      <c r="G36" s="256">
        <v>40</v>
      </c>
      <c r="H36" s="254">
        <v>66.87</v>
      </c>
      <c r="I36" s="254">
        <v>2674.8</v>
      </c>
    </row>
    <row r="37" spans="1:9" ht="76.5" x14ac:dyDescent="0.25">
      <c r="A37" s="248">
        <v>20</v>
      </c>
      <c r="B37" s="249" t="s">
        <v>329</v>
      </c>
      <c r="C37" s="255"/>
      <c r="D37" s="255" t="s">
        <v>396</v>
      </c>
      <c r="E37" s="255" t="s">
        <v>209</v>
      </c>
      <c r="F37" s="252">
        <v>10</v>
      </c>
      <c r="G37" s="256">
        <v>20</v>
      </c>
      <c r="H37" s="254">
        <v>74.930000000000007</v>
      </c>
      <c r="I37" s="254">
        <v>1498.6000000000001</v>
      </c>
    </row>
    <row r="38" spans="1:9" ht="89.25" x14ac:dyDescent="0.25">
      <c r="A38" s="248">
        <v>21</v>
      </c>
      <c r="B38" s="249" t="s">
        <v>328</v>
      </c>
      <c r="C38" s="255"/>
      <c r="D38" s="255" t="s">
        <v>396</v>
      </c>
      <c r="E38" s="255" t="s">
        <v>209</v>
      </c>
      <c r="F38" s="252">
        <v>5</v>
      </c>
      <c r="G38" s="256">
        <v>10</v>
      </c>
      <c r="H38" s="254">
        <v>59.24</v>
      </c>
      <c r="I38" s="254">
        <v>592.4</v>
      </c>
    </row>
    <row r="39" spans="1:9" ht="102" x14ac:dyDescent="0.25">
      <c r="A39" s="248">
        <v>22</v>
      </c>
      <c r="B39" s="249" t="s">
        <v>327</v>
      </c>
      <c r="C39" s="255"/>
      <c r="D39" s="255" t="s">
        <v>485</v>
      </c>
      <c r="E39" s="255" t="s">
        <v>209</v>
      </c>
      <c r="F39" s="252">
        <v>7</v>
      </c>
      <c r="G39" s="256">
        <v>28</v>
      </c>
      <c r="H39" s="254">
        <v>72.95</v>
      </c>
      <c r="I39" s="254">
        <v>2042.6000000000001</v>
      </c>
    </row>
    <row r="40" spans="1:9" ht="25.5" x14ac:dyDescent="0.25">
      <c r="A40" s="248">
        <v>23</v>
      </c>
      <c r="B40" s="249" t="s">
        <v>326</v>
      </c>
      <c r="C40" s="255"/>
      <c r="D40" s="255" t="s">
        <v>484</v>
      </c>
      <c r="E40" s="255" t="s">
        <v>209</v>
      </c>
      <c r="F40" s="252">
        <v>17</v>
      </c>
      <c r="G40" s="256">
        <v>204</v>
      </c>
      <c r="H40" s="254">
        <v>2.16</v>
      </c>
      <c r="I40" s="254">
        <v>440.64000000000004</v>
      </c>
    </row>
    <row r="41" spans="1:9" ht="76.5" x14ac:dyDescent="0.25">
      <c r="A41" s="248">
        <v>24</v>
      </c>
      <c r="B41" s="249" t="s">
        <v>325</v>
      </c>
      <c r="C41" s="255"/>
      <c r="D41" s="255" t="s">
        <v>397</v>
      </c>
      <c r="E41" s="255" t="s">
        <v>373</v>
      </c>
      <c r="F41" s="252">
        <v>2</v>
      </c>
      <c r="G41" s="256">
        <v>2</v>
      </c>
      <c r="H41" s="254">
        <v>49.97</v>
      </c>
      <c r="I41" s="254">
        <v>99.94</v>
      </c>
    </row>
    <row r="42" spans="1:9" ht="127.5" x14ac:dyDescent="0.25">
      <c r="A42" s="248">
        <v>25</v>
      </c>
      <c r="B42" s="249" t="s">
        <v>324</v>
      </c>
      <c r="C42" s="255"/>
      <c r="D42" s="255" t="s">
        <v>483</v>
      </c>
      <c r="E42" s="255" t="s">
        <v>373</v>
      </c>
      <c r="F42" s="252">
        <v>1</v>
      </c>
      <c r="G42" s="256">
        <v>6</v>
      </c>
      <c r="H42" s="254">
        <v>84.46</v>
      </c>
      <c r="I42" s="254">
        <v>506.76</v>
      </c>
    </row>
    <row r="43" spans="1:9" ht="76.5" x14ac:dyDescent="0.25">
      <c r="A43" s="248">
        <v>26</v>
      </c>
      <c r="B43" s="249" t="s">
        <v>323</v>
      </c>
      <c r="C43" s="255"/>
      <c r="D43" s="255" t="s">
        <v>397</v>
      </c>
      <c r="E43" s="255" t="s">
        <v>209</v>
      </c>
      <c r="F43" s="252">
        <v>15</v>
      </c>
      <c r="G43" s="256">
        <v>15</v>
      </c>
      <c r="H43" s="254">
        <v>61.19</v>
      </c>
      <c r="I43" s="254">
        <v>917.84999999999991</v>
      </c>
    </row>
    <row r="44" spans="1:9" ht="38.25" x14ac:dyDescent="0.25">
      <c r="A44" s="248">
        <v>27</v>
      </c>
      <c r="B44" s="249" t="s">
        <v>322</v>
      </c>
      <c r="C44" s="255"/>
      <c r="D44" s="255" t="s">
        <v>485</v>
      </c>
      <c r="E44" s="255" t="s">
        <v>209</v>
      </c>
      <c r="F44" s="252">
        <v>7</v>
      </c>
      <c r="G44" s="256">
        <v>28</v>
      </c>
      <c r="H44" s="254">
        <v>13.83</v>
      </c>
      <c r="I44" s="254">
        <v>387.24</v>
      </c>
    </row>
    <row r="45" spans="1:9" ht="63.75" x14ac:dyDescent="0.25">
      <c r="A45" s="248">
        <v>28</v>
      </c>
      <c r="B45" s="249" t="s">
        <v>321</v>
      </c>
      <c r="C45" s="255"/>
      <c r="D45" s="255" t="s">
        <v>483</v>
      </c>
      <c r="E45" s="255" t="s">
        <v>209</v>
      </c>
      <c r="F45" s="252">
        <v>1</v>
      </c>
      <c r="G45" s="256">
        <v>6</v>
      </c>
      <c r="H45" s="254">
        <v>101.86</v>
      </c>
      <c r="I45" s="254">
        <v>611.16</v>
      </c>
    </row>
    <row r="46" spans="1:9" ht="63.75" x14ac:dyDescent="0.25">
      <c r="A46" s="248">
        <v>29</v>
      </c>
      <c r="B46" s="249" t="s">
        <v>320</v>
      </c>
      <c r="C46" s="255"/>
      <c r="D46" s="255" t="s">
        <v>397</v>
      </c>
      <c r="E46" s="255" t="s">
        <v>209</v>
      </c>
      <c r="F46" s="252">
        <v>4</v>
      </c>
      <c r="G46" s="256">
        <v>4</v>
      </c>
      <c r="H46" s="254">
        <v>140.03</v>
      </c>
      <c r="I46" s="254">
        <v>560.12</v>
      </c>
    </row>
    <row r="47" spans="1:9" x14ac:dyDescent="0.25">
      <c r="A47" s="248">
        <v>30</v>
      </c>
      <c r="B47" s="249" t="s">
        <v>319</v>
      </c>
      <c r="C47" s="255"/>
      <c r="D47" s="255" t="s">
        <v>396</v>
      </c>
      <c r="E47" s="255" t="s">
        <v>209</v>
      </c>
      <c r="F47" s="252">
        <v>9</v>
      </c>
      <c r="G47" s="256">
        <v>18</v>
      </c>
      <c r="H47" s="254">
        <v>7.1</v>
      </c>
      <c r="I47" s="254">
        <v>127.8</v>
      </c>
    </row>
    <row r="48" spans="1:9" ht="25.5" x14ac:dyDescent="0.25">
      <c r="A48" s="248">
        <v>31</v>
      </c>
      <c r="B48" s="249" t="s">
        <v>318</v>
      </c>
      <c r="C48" s="255"/>
      <c r="D48" s="255" t="s">
        <v>396</v>
      </c>
      <c r="E48" s="255" t="s">
        <v>209</v>
      </c>
      <c r="F48" s="252">
        <v>9</v>
      </c>
      <c r="G48" s="256">
        <v>18</v>
      </c>
      <c r="H48" s="254">
        <v>7.12</v>
      </c>
      <c r="I48" s="254">
        <v>128.16</v>
      </c>
    </row>
    <row r="49" spans="1:9" ht="25.5" x14ac:dyDescent="0.25">
      <c r="A49" s="248">
        <v>32</v>
      </c>
      <c r="B49" s="249" t="s">
        <v>317</v>
      </c>
      <c r="C49" s="255"/>
      <c r="D49" s="255" t="s">
        <v>485</v>
      </c>
      <c r="E49" s="255" t="s">
        <v>209</v>
      </c>
      <c r="F49" s="252">
        <v>7</v>
      </c>
      <c r="G49" s="256">
        <v>28</v>
      </c>
      <c r="H49" s="254">
        <v>31.31</v>
      </c>
      <c r="I49" s="254">
        <v>876.68</v>
      </c>
    </row>
    <row r="50" spans="1:9" ht="25.5" x14ac:dyDescent="0.25">
      <c r="A50" s="248">
        <v>33</v>
      </c>
      <c r="B50" s="249" t="s">
        <v>316</v>
      </c>
      <c r="C50" s="255"/>
      <c r="D50" s="255" t="s">
        <v>485</v>
      </c>
      <c r="E50" s="255" t="s">
        <v>209</v>
      </c>
      <c r="F50" s="252">
        <v>4</v>
      </c>
      <c r="G50" s="256">
        <v>16</v>
      </c>
      <c r="H50" s="254">
        <v>11.15</v>
      </c>
      <c r="I50" s="254">
        <v>178.4</v>
      </c>
    </row>
    <row r="51" spans="1:9" ht="25.5" x14ac:dyDescent="0.25">
      <c r="A51" s="248">
        <v>34</v>
      </c>
      <c r="B51" s="249" t="s">
        <v>315</v>
      </c>
      <c r="C51" s="255"/>
      <c r="D51" s="255" t="s">
        <v>484</v>
      </c>
      <c r="E51" s="255" t="s">
        <v>209</v>
      </c>
      <c r="F51" s="252">
        <v>1</v>
      </c>
      <c r="G51" s="256">
        <v>12</v>
      </c>
      <c r="H51" s="254">
        <v>25.22</v>
      </c>
      <c r="I51" s="254">
        <v>302.64</v>
      </c>
    </row>
    <row r="52" spans="1:9" ht="25.5" x14ac:dyDescent="0.25">
      <c r="A52" s="248">
        <v>35</v>
      </c>
      <c r="B52" s="249" t="s">
        <v>314</v>
      </c>
      <c r="C52" s="255"/>
      <c r="D52" s="255" t="s">
        <v>484</v>
      </c>
      <c r="E52" s="255" t="s">
        <v>374</v>
      </c>
      <c r="F52" s="252">
        <v>1</v>
      </c>
      <c r="G52" s="256">
        <v>12</v>
      </c>
      <c r="H52" s="254">
        <v>2.78</v>
      </c>
      <c r="I52" s="254">
        <v>33.36</v>
      </c>
    </row>
    <row r="53" spans="1:9" ht="38.25" x14ac:dyDescent="0.25">
      <c r="A53" s="248">
        <v>36</v>
      </c>
      <c r="B53" s="249" t="s">
        <v>313</v>
      </c>
      <c r="C53" s="255"/>
      <c r="D53" s="255" t="s">
        <v>484</v>
      </c>
      <c r="E53" s="255" t="s">
        <v>374</v>
      </c>
      <c r="F53" s="252">
        <v>17</v>
      </c>
      <c r="G53" s="256">
        <v>204</v>
      </c>
      <c r="H53" s="254">
        <v>8.84</v>
      </c>
      <c r="I53" s="254">
        <v>1803.36</v>
      </c>
    </row>
    <row r="54" spans="1:9" ht="25.5" x14ac:dyDescent="0.25">
      <c r="A54" s="248">
        <v>37</v>
      </c>
      <c r="B54" s="249" t="s">
        <v>312</v>
      </c>
      <c r="C54" s="255"/>
      <c r="D54" s="255" t="s">
        <v>484</v>
      </c>
      <c r="E54" s="255" t="s">
        <v>209</v>
      </c>
      <c r="F54" s="252">
        <v>9</v>
      </c>
      <c r="G54" s="256">
        <v>108</v>
      </c>
      <c r="H54" s="254">
        <v>25.77</v>
      </c>
      <c r="I54" s="254">
        <v>2783.16</v>
      </c>
    </row>
    <row r="55" spans="1:9" ht="51" x14ac:dyDescent="0.25">
      <c r="A55" s="248">
        <v>38</v>
      </c>
      <c r="B55" s="249" t="s">
        <v>311</v>
      </c>
      <c r="C55" s="255"/>
      <c r="D55" s="255" t="s">
        <v>397</v>
      </c>
      <c r="E55" s="255" t="s">
        <v>209</v>
      </c>
      <c r="F55" s="252">
        <v>2</v>
      </c>
      <c r="G55" s="256">
        <v>2</v>
      </c>
      <c r="H55" s="254">
        <v>66.900000000000006</v>
      </c>
      <c r="I55" s="254">
        <v>133.80000000000001</v>
      </c>
    </row>
    <row r="56" spans="1:9" ht="89.25" x14ac:dyDescent="0.25">
      <c r="A56" s="248">
        <v>39</v>
      </c>
      <c r="B56" s="249" t="s">
        <v>310</v>
      </c>
      <c r="C56" s="255"/>
      <c r="D56" s="255" t="s">
        <v>484</v>
      </c>
      <c r="E56" s="255" t="s">
        <v>209</v>
      </c>
      <c r="F56" s="252">
        <v>13</v>
      </c>
      <c r="G56" s="256">
        <v>156</v>
      </c>
      <c r="H56" s="254">
        <v>11.93</v>
      </c>
      <c r="I56" s="254">
        <v>1861.08</v>
      </c>
    </row>
    <row r="57" spans="1:9" ht="25.5" x14ac:dyDescent="0.25">
      <c r="A57" s="248">
        <v>40</v>
      </c>
      <c r="B57" s="249" t="s">
        <v>309</v>
      </c>
      <c r="C57" s="255"/>
      <c r="D57" s="255" t="s">
        <v>397</v>
      </c>
      <c r="E57" s="255" t="s">
        <v>209</v>
      </c>
      <c r="F57" s="252">
        <v>2</v>
      </c>
      <c r="G57" s="256">
        <v>2</v>
      </c>
      <c r="H57" s="254">
        <v>79.430000000000007</v>
      </c>
      <c r="I57" s="254">
        <v>158.86000000000001</v>
      </c>
    </row>
    <row r="58" spans="1:9" ht="140.25" x14ac:dyDescent="0.25">
      <c r="A58" s="248">
        <v>41</v>
      </c>
      <c r="B58" s="249" t="s">
        <v>308</v>
      </c>
      <c r="C58" s="255"/>
      <c r="D58" s="255" t="s">
        <v>484</v>
      </c>
      <c r="E58" s="255" t="s">
        <v>209</v>
      </c>
      <c r="F58" s="252">
        <v>1</v>
      </c>
      <c r="G58" s="256">
        <v>12</v>
      </c>
      <c r="H58" s="254">
        <v>2.62</v>
      </c>
      <c r="I58" s="254">
        <v>31.44</v>
      </c>
    </row>
    <row r="59" spans="1:9" ht="25.5" x14ac:dyDescent="0.25">
      <c r="A59" s="248">
        <v>42</v>
      </c>
      <c r="B59" s="257" t="s">
        <v>375</v>
      </c>
      <c r="C59" s="258"/>
      <c r="D59" s="258" t="s">
        <v>484</v>
      </c>
      <c r="E59" s="258" t="s">
        <v>209</v>
      </c>
      <c r="F59" s="252">
        <v>9</v>
      </c>
      <c r="G59" s="253">
        <v>108</v>
      </c>
      <c r="H59" s="254">
        <v>2.63</v>
      </c>
      <c r="I59" s="254">
        <v>284.03999999999996</v>
      </c>
    </row>
    <row r="60" spans="1:9" ht="89.25" x14ac:dyDescent="0.25">
      <c r="A60" s="248">
        <v>43</v>
      </c>
      <c r="B60" s="249" t="s">
        <v>307</v>
      </c>
      <c r="C60" s="258"/>
      <c r="D60" s="258" t="s">
        <v>397</v>
      </c>
      <c r="E60" s="258" t="s">
        <v>209</v>
      </c>
      <c r="F60" s="252">
        <v>1</v>
      </c>
      <c r="G60" s="253">
        <v>1</v>
      </c>
      <c r="H60" s="254">
        <v>28.33</v>
      </c>
      <c r="I60" s="254">
        <v>28.33</v>
      </c>
    </row>
    <row r="61" spans="1:9" ht="25.5" x14ac:dyDescent="0.25">
      <c r="A61" s="248">
        <v>44</v>
      </c>
      <c r="B61" s="249" t="s">
        <v>306</v>
      </c>
      <c r="C61" s="258"/>
      <c r="D61" s="258" t="s">
        <v>397</v>
      </c>
      <c r="E61" s="258" t="s">
        <v>373</v>
      </c>
      <c r="F61" s="252">
        <v>1</v>
      </c>
      <c r="G61" s="253">
        <v>1</v>
      </c>
      <c r="H61" s="254">
        <v>157.75</v>
      </c>
      <c r="I61" s="254">
        <v>157.75</v>
      </c>
    </row>
    <row r="62" spans="1:9" ht="38.25" x14ac:dyDescent="0.25">
      <c r="A62" s="248">
        <v>45</v>
      </c>
      <c r="B62" s="249" t="s">
        <v>305</v>
      </c>
      <c r="C62" s="258"/>
      <c r="D62" s="258" t="s">
        <v>484</v>
      </c>
      <c r="E62" s="258" t="s">
        <v>373</v>
      </c>
      <c r="F62" s="252">
        <v>10</v>
      </c>
      <c r="G62" s="253">
        <v>120</v>
      </c>
      <c r="H62" s="254">
        <v>28.8</v>
      </c>
      <c r="I62" s="254">
        <v>3456</v>
      </c>
    </row>
    <row r="63" spans="1:9" x14ac:dyDescent="0.25">
      <c r="A63" s="248">
        <v>46</v>
      </c>
      <c r="B63" s="249" t="s">
        <v>304</v>
      </c>
      <c r="C63" s="258"/>
      <c r="D63" s="258" t="s">
        <v>484</v>
      </c>
      <c r="E63" s="258" t="s">
        <v>209</v>
      </c>
      <c r="F63" s="252">
        <v>1</v>
      </c>
      <c r="G63" s="253">
        <v>12</v>
      </c>
      <c r="H63" s="254">
        <v>15.8</v>
      </c>
      <c r="I63" s="254">
        <v>189.60000000000002</v>
      </c>
    </row>
    <row r="64" spans="1:9" ht="114.75" x14ac:dyDescent="0.25">
      <c r="A64" s="248">
        <v>47</v>
      </c>
      <c r="B64" s="249" t="s">
        <v>376</v>
      </c>
      <c r="C64" s="258" t="s">
        <v>377</v>
      </c>
      <c r="D64" s="258" t="s">
        <v>397</v>
      </c>
      <c r="E64" s="258" t="s">
        <v>209</v>
      </c>
      <c r="F64" s="252">
        <v>2</v>
      </c>
      <c r="G64" s="253">
        <v>2</v>
      </c>
      <c r="H64" s="254">
        <v>82.1</v>
      </c>
      <c r="I64" s="254">
        <v>164.2</v>
      </c>
    </row>
    <row r="65" spans="1:9" ht="25.5" x14ac:dyDescent="0.25">
      <c r="A65" s="248">
        <v>48</v>
      </c>
      <c r="B65" s="259" t="s">
        <v>303</v>
      </c>
      <c r="C65" s="258"/>
      <c r="D65" s="258" t="s">
        <v>396</v>
      </c>
      <c r="E65" s="258" t="s">
        <v>209</v>
      </c>
      <c r="F65" s="252">
        <v>10</v>
      </c>
      <c r="G65" s="253">
        <v>20</v>
      </c>
      <c r="H65" s="254">
        <v>46.46</v>
      </c>
      <c r="I65" s="254">
        <v>929.2</v>
      </c>
    </row>
    <row r="66" spans="1:9" ht="25.5" x14ac:dyDescent="0.25">
      <c r="A66" s="248">
        <v>49</v>
      </c>
      <c r="B66" s="259" t="s">
        <v>302</v>
      </c>
      <c r="C66" s="258"/>
      <c r="D66" s="258" t="s">
        <v>397</v>
      </c>
      <c r="E66" s="258" t="s">
        <v>209</v>
      </c>
      <c r="F66" s="252">
        <v>2</v>
      </c>
      <c r="G66" s="253">
        <v>2</v>
      </c>
      <c r="H66" s="254">
        <v>61.9</v>
      </c>
      <c r="I66" s="254">
        <v>123.8</v>
      </c>
    </row>
    <row r="67" spans="1:9" ht="25.5" x14ac:dyDescent="0.25">
      <c r="A67" s="248">
        <v>50</v>
      </c>
      <c r="B67" s="249" t="s">
        <v>301</v>
      </c>
      <c r="C67" s="258"/>
      <c r="D67" s="258" t="s">
        <v>397</v>
      </c>
      <c r="E67" s="258" t="s">
        <v>370</v>
      </c>
      <c r="F67" s="252">
        <v>3</v>
      </c>
      <c r="G67" s="253">
        <v>3</v>
      </c>
      <c r="H67" s="254">
        <v>62.07</v>
      </c>
      <c r="I67" s="254">
        <v>186.21</v>
      </c>
    </row>
    <row r="68" spans="1:9" ht="25.5" x14ac:dyDescent="0.25">
      <c r="A68" s="248">
        <v>51</v>
      </c>
      <c r="B68" s="249" t="s">
        <v>378</v>
      </c>
      <c r="C68" s="258"/>
      <c r="D68" s="258" t="s">
        <v>397</v>
      </c>
      <c r="E68" s="258" t="s">
        <v>370</v>
      </c>
      <c r="F68" s="252">
        <v>2</v>
      </c>
      <c r="G68" s="253">
        <v>2</v>
      </c>
      <c r="H68" s="254">
        <v>145.88999999999999</v>
      </c>
      <c r="I68" s="254">
        <v>291.77999999999997</v>
      </c>
    </row>
    <row r="69" spans="1:9" ht="160.5" customHeight="1" x14ac:dyDescent="0.25">
      <c r="A69" s="248">
        <v>52</v>
      </c>
      <c r="B69" s="249" t="s">
        <v>300</v>
      </c>
      <c r="C69" s="258"/>
      <c r="D69" s="258" t="s">
        <v>484</v>
      </c>
      <c r="E69" s="258" t="s">
        <v>370</v>
      </c>
      <c r="F69" s="252">
        <v>1</v>
      </c>
      <c r="G69" s="253">
        <v>12</v>
      </c>
      <c r="H69" s="254">
        <v>67.540000000000006</v>
      </c>
      <c r="I69" s="254">
        <v>810.48</v>
      </c>
    </row>
    <row r="70" spans="1:9" ht="25.5" x14ac:dyDescent="0.25">
      <c r="A70" s="248">
        <v>53</v>
      </c>
      <c r="B70" s="249" t="s">
        <v>299</v>
      </c>
      <c r="C70" s="258"/>
      <c r="D70" s="258" t="s">
        <v>397</v>
      </c>
      <c r="E70" s="258" t="s">
        <v>209</v>
      </c>
      <c r="F70" s="252">
        <v>3</v>
      </c>
      <c r="G70" s="253">
        <v>3</v>
      </c>
      <c r="H70" s="254">
        <v>63.99</v>
      </c>
      <c r="I70" s="254">
        <v>191.97</v>
      </c>
    </row>
    <row r="71" spans="1:9" ht="102" x14ac:dyDescent="0.25">
      <c r="A71" s="248">
        <v>54</v>
      </c>
      <c r="B71" s="249" t="s">
        <v>298</v>
      </c>
      <c r="C71" s="258"/>
      <c r="D71" s="258" t="s">
        <v>397</v>
      </c>
      <c r="E71" s="258" t="s">
        <v>209</v>
      </c>
      <c r="F71" s="252">
        <v>3</v>
      </c>
      <c r="G71" s="253">
        <v>3</v>
      </c>
      <c r="H71" s="254">
        <v>246.87</v>
      </c>
      <c r="I71" s="254">
        <v>740.61</v>
      </c>
    </row>
    <row r="72" spans="1:9" ht="38.25" x14ac:dyDescent="0.25">
      <c r="A72" s="248">
        <v>55</v>
      </c>
      <c r="B72" s="249" t="s">
        <v>379</v>
      </c>
      <c r="C72" s="258"/>
      <c r="D72" s="258" t="s">
        <v>484</v>
      </c>
      <c r="E72" s="258" t="s">
        <v>209</v>
      </c>
      <c r="F72" s="252">
        <v>1</v>
      </c>
      <c r="G72" s="253">
        <v>12</v>
      </c>
      <c r="H72" s="254">
        <v>14.49</v>
      </c>
      <c r="I72" s="254">
        <v>173.88</v>
      </c>
    </row>
    <row r="73" spans="1:9" ht="89.25" x14ac:dyDescent="0.25">
      <c r="A73" s="248">
        <v>56</v>
      </c>
      <c r="B73" s="249" t="s">
        <v>297</v>
      </c>
      <c r="C73" s="258"/>
      <c r="D73" s="258" t="s">
        <v>396</v>
      </c>
      <c r="E73" s="258" t="s">
        <v>370</v>
      </c>
      <c r="F73" s="252">
        <v>2</v>
      </c>
      <c r="G73" s="253">
        <v>4</v>
      </c>
      <c r="H73" s="254">
        <v>124.13</v>
      </c>
      <c r="I73" s="254">
        <v>496.52</v>
      </c>
    </row>
    <row r="74" spans="1:9" ht="25.5" x14ac:dyDescent="0.25">
      <c r="A74" s="248">
        <v>57</v>
      </c>
      <c r="B74" s="249" t="s">
        <v>380</v>
      </c>
      <c r="C74" s="258"/>
      <c r="D74" s="258" t="s">
        <v>396</v>
      </c>
      <c r="E74" s="258" t="s">
        <v>209</v>
      </c>
      <c r="F74" s="252">
        <v>10</v>
      </c>
      <c r="G74" s="253">
        <v>20</v>
      </c>
      <c r="H74" s="254">
        <v>43.99</v>
      </c>
      <c r="I74" s="254">
        <v>879.80000000000007</v>
      </c>
    </row>
    <row r="75" spans="1:9" x14ac:dyDescent="0.25">
      <c r="A75" s="248">
        <v>58</v>
      </c>
      <c r="B75" s="249" t="s">
        <v>296</v>
      </c>
      <c r="C75" s="258"/>
      <c r="D75" s="258" t="s">
        <v>484</v>
      </c>
      <c r="E75" s="258" t="s">
        <v>209</v>
      </c>
      <c r="F75" s="252">
        <v>12</v>
      </c>
      <c r="G75" s="253">
        <v>144</v>
      </c>
      <c r="H75" s="254">
        <v>17.47</v>
      </c>
      <c r="I75" s="254">
        <v>2515.6799999999998</v>
      </c>
    </row>
    <row r="76" spans="1:9" ht="76.5" x14ac:dyDescent="0.25">
      <c r="A76" s="248">
        <v>59</v>
      </c>
      <c r="B76" s="259" t="s">
        <v>295</v>
      </c>
      <c r="C76" s="258"/>
      <c r="D76" s="258" t="s">
        <v>397</v>
      </c>
      <c r="E76" s="258" t="s">
        <v>209</v>
      </c>
      <c r="F76" s="252">
        <v>1</v>
      </c>
      <c r="G76" s="253">
        <v>1</v>
      </c>
      <c r="H76" s="254">
        <v>97.64</v>
      </c>
      <c r="I76" s="254">
        <v>97.64</v>
      </c>
    </row>
    <row r="77" spans="1:9" ht="25.5" x14ac:dyDescent="0.25">
      <c r="A77" s="248">
        <v>60</v>
      </c>
      <c r="B77" s="259" t="s">
        <v>294</v>
      </c>
      <c r="C77" s="258"/>
      <c r="D77" s="258" t="s">
        <v>397</v>
      </c>
      <c r="E77" s="258" t="s">
        <v>209</v>
      </c>
      <c r="F77" s="252">
        <v>2</v>
      </c>
      <c r="G77" s="253">
        <v>2</v>
      </c>
      <c r="H77" s="254">
        <v>276.85000000000002</v>
      </c>
      <c r="I77" s="254">
        <v>553.70000000000005</v>
      </c>
    </row>
    <row r="78" spans="1:9" ht="38.25" x14ac:dyDescent="0.25">
      <c r="A78" s="248">
        <v>61</v>
      </c>
      <c r="B78" s="259" t="s">
        <v>293</v>
      </c>
      <c r="C78" s="258"/>
      <c r="D78" s="258" t="s">
        <v>396</v>
      </c>
      <c r="E78" s="258" t="s">
        <v>209</v>
      </c>
      <c r="F78" s="252">
        <v>2</v>
      </c>
      <c r="G78" s="253">
        <v>4</v>
      </c>
      <c r="H78" s="254">
        <v>129.15</v>
      </c>
      <c r="I78" s="254">
        <v>516.6</v>
      </c>
    </row>
    <row r="79" spans="1:9" ht="89.25" x14ac:dyDescent="0.25">
      <c r="A79" s="248">
        <v>62</v>
      </c>
      <c r="B79" s="249" t="s">
        <v>292</v>
      </c>
      <c r="C79" s="255"/>
      <c r="D79" s="255" t="s">
        <v>484</v>
      </c>
      <c r="E79" s="255" t="s">
        <v>209</v>
      </c>
      <c r="F79" s="252">
        <v>3</v>
      </c>
      <c r="G79" s="256">
        <v>36</v>
      </c>
      <c r="H79" s="254">
        <v>134.96</v>
      </c>
      <c r="I79" s="254">
        <v>4858.5600000000004</v>
      </c>
    </row>
    <row r="80" spans="1:9" ht="76.5" x14ac:dyDescent="0.25">
      <c r="A80" s="248">
        <v>63</v>
      </c>
      <c r="B80" s="249" t="s">
        <v>291</v>
      </c>
      <c r="C80" s="255"/>
      <c r="D80" s="255" t="s">
        <v>484</v>
      </c>
      <c r="E80" s="255" t="s">
        <v>209</v>
      </c>
      <c r="F80" s="252">
        <v>2</v>
      </c>
      <c r="G80" s="256">
        <v>24</v>
      </c>
      <c r="H80" s="254">
        <v>116.7</v>
      </c>
      <c r="I80" s="254">
        <v>2800.8</v>
      </c>
    </row>
    <row r="81" spans="1:9" ht="25.5" x14ac:dyDescent="0.25">
      <c r="A81" s="248">
        <v>64</v>
      </c>
      <c r="B81" s="249" t="s">
        <v>290</v>
      </c>
      <c r="C81" s="255"/>
      <c r="D81" s="255" t="s">
        <v>484</v>
      </c>
      <c r="E81" s="255" t="s">
        <v>209</v>
      </c>
      <c r="F81" s="252">
        <v>2</v>
      </c>
      <c r="G81" s="256">
        <v>24</v>
      </c>
      <c r="H81" s="254">
        <v>54.13</v>
      </c>
      <c r="I81" s="254">
        <v>1299.1200000000001</v>
      </c>
    </row>
    <row r="82" spans="1:9" ht="38.25" x14ac:dyDescent="0.25">
      <c r="A82" s="248">
        <v>65</v>
      </c>
      <c r="B82" s="249" t="s">
        <v>289</v>
      </c>
      <c r="C82" s="255"/>
      <c r="D82" s="255" t="s">
        <v>396</v>
      </c>
      <c r="E82" s="255" t="s">
        <v>209</v>
      </c>
      <c r="F82" s="252">
        <v>10</v>
      </c>
      <c r="G82" s="256">
        <v>20</v>
      </c>
      <c r="H82" s="254">
        <v>36.17</v>
      </c>
      <c r="I82" s="254">
        <v>723.40000000000009</v>
      </c>
    </row>
    <row r="83" spans="1:9" ht="38.25" x14ac:dyDescent="0.25">
      <c r="A83" s="248">
        <v>66</v>
      </c>
      <c r="B83" s="249" t="s">
        <v>288</v>
      </c>
      <c r="C83" s="255"/>
      <c r="D83" s="255" t="s">
        <v>484</v>
      </c>
      <c r="E83" s="255" t="s">
        <v>209</v>
      </c>
      <c r="F83" s="252">
        <v>2</v>
      </c>
      <c r="G83" s="256">
        <v>24</v>
      </c>
      <c r="H83" s="254">
        <v>2.69</v>
      </c>
      <c r="I83" s="254">
        <v>64.56</v>
      </c>
    </row>
    <row r="84" spans="1:9" ht="25.5" x14ac:dyDescent="0.25">
      <c r="A84" s="248">
        <v>67</v>
      </c>
      <c r="B84" s="249" t="s">
        <v>287</v>
      </c>
      <c r="C84" s="255"/>
      <c r="D84" s="255" t="s">
        <v>484</v>
      </c>
      <c r="E84" s="255" t="s">
        <v>209</v>
      </c>
      <c r="F84" s="252">
        <v>8</v>
      </c>
      <c r="G84" s="256">
        <v>96</v>
      </c>
      <c r="H84" s="254">
        <v>10.69</v>
      </c>
      <c r="I84" s="254">
        <v>1026.24</v>
      </c>
    </row>
    <row r="85" spans="1:9" ht="25.5" x14ac:dyDescent="0.25">
      <c r="A85" s="248">
        <v>68</v>
      </c>
      <c r="B85" s="249" t="s">
        <v>286</v>
      </c>
      <c r="C85" s="255"/>
      <c r="D85" s="255" t="s">
        <v>485</v>
      </c>
      <c r="E85" s="255" t="s">
        <v>209</v>
      </c>
      <c r="F85" s="252">
        <v>5</v>
      </c>
      <c r="G85" s="256">
        <v>20</v>
      </c>
      <c r="H85" s="254">
        <v>41.31</v>
      </c>
      <c r="I85" s="254">
        <v>826.2</v>
      </c>
    </row>
    <row r="86" spans="1:9" ht="51" x14ac:dyDescent="0.25">
      <c r="A86" s="248">
        <v>69</v>
      </c>
      <c r="B86" s="249" t="s">
        <v>285</v>
      </c>
      <c r="C86" s="255"/>
      <c r="D86" s="255" t="s">
        <v>485</v>
      </c>
      <c r="E86" s="255" t="s">
        <v>209</v>
      </c>
      <c r="F86" s="252">
        <v>5</v>
      </c>
      <c r="G86" s="256">
        <v>20</v>
      </c>
      <c r="H86" s="254">
        <v>45.81</v>
      </c>
      <c r="I86" s="254">
        <v>916.2</v>
      </c>
    </row>
    <row r="87" spans="1:9" ht="38.25" x14ac:dyDescent="0.25">
      <c r="A87" s="248">
        <v>70</v>
      </c>
      <c r="B87" s="249" t="s">
        <v>284</v>
      </c>
      <c r="C87" s="255"/>
      <c r="D87" s="255" t="s">
        <v>485</v>
      </c>
      <c r="E87" s="255" t="s">
        <v>209</v>
      </c>
      <c r="F87" s="252">
        <v>3</v>
      </c>
      <c r="G87" s="256">
        <v>12</v>
      </c>
      <c r="H87" s="254">
        <v>70.650000000000006</v>
      </c>
      <c r="I87" s="254">
        <v>847.80000000000007</v>
      </c>
    </row>
    <row r="88" spans="1:9" ht="25.5" x14ac:dyDescent="0.25">
      <c r="A88" s="248">
        <v>71</v>
      </c>
      <c r="B88" s="249" t="s">
        <v>283</v>
      </c>
      <c r="C88" s="255"/>
      <c r="D88" s="255" t="s">
        <v>484</v>
      </c>
      <c r="E88" s="255" t="s">
        <v>209</v>
      </c>
      <c r="F88" s="252">
        <v>1</v>
      </c>
      <c r="G88" s="256">
        <v>12</v>
      </c>
      <c r="H88" s="254">
        <v>2.93</v>
      </c>
      <c r="I88" s="254">
        <v>35.160000000000004</v>
      </c>
    </row>
    <row r="89" spans="1:9" ht="38.25" x14ac:dyDescent="0.25">
      <c r="A89" s="248">
        <v>72</v>
      </c>
      <c r="B89" s="249" t="s">
        <v>282</v>
      </c>
      <c r="C89" s="255"/>
      <c r="D89" s="255" t="s">
        <v>484</v>
      </c>
      <c r="E89" s="255" t="s">
        <v>209</v>
      </c>
      <c r="F89" s="252">
        <v>18</v>
      </c>
      <c r="G89" s="256">
        <v>216</v>
      </c>
      <c r="H89" s="254">
        <v>10.62</v>
      </c>
      <c r="I89" s="254">
        <v>2293.9199999999996</v>
      </c>
    </row>
    <row r="90" spans="1:9" ht="63.75" x14ac:dyDescent="0.25">
      <c r="A90" s="248">
        <v>73</v>
      </c>
      <c r="B90" s="249" t="s">
        <v>281</v>
      </c>
      <c r="C90" s="255"/>
      <c r="D90" s="255" t="s">
        <v>484</v>
      </c>
      <c r="E90" s="255" t="s">
        <v>209</v>
      </c>
      <c r="F90" s="252">
        <v>8</v>
      </c>
      <c r="G90" s="256">
        <v>96</v>
      </c>
      <c r="H90" s="254">
        <v>11.86</v>
      </c>
      <c r="I90" s="254">
        <v>1138.56</v>
      </c>
    </row>
    <row r="91" spans="1:9" ht="25.5" x14ac:dyDescent="0.25">
      <c r="A91" s="248">
        <v>74</v>
      </c>
      <c r="B91" s="249" t="s">
        <v>280</v>
      </c>
      <c r="C91" s="255"/>
      <c r="D91" s="255" t="s">
        <v>484</v>
      </c>
      <c r="E91" s="255" t="s">
        <v>209</v>
      </c>
      <c r="F91" s="252">
        <v>3</v>
      </c>
      <c r="G91" s="256">
        <v>36</v>
      </c>
      <c r="H91" s="254">
        <v>31.4</v>
      </c>
      <c r="I91" s="254">
        <v>1130.3999999999999</v>
      </c>
    </row>
    <row r="92" spans="1:9" ht="51" x14ac:dyDescent="0.25">
      <c r="A92" s="248">
        <v>75</v>
      </c>
      <c r="B92" s="249" t="s">
        <v>279</v>
      </c>
      <c r="C92" s="255"/>
      <c r="D92" s="255" t="s">
        <v>484</v>
      </c>
      <c r="E92" s="255" t="s">
        <v>381</v>
      </c>
      <c r="F92" s="252">
        <v>3</v>
      </c>
      <c r="G92" s="256">
        <v>36</v>
      </c>
      <c r="H92" s="254">
        <v>90.44</v>
      </c>
      <c r="I92" s="254">
        <v>3255.84</v>
      </c>
    </row>
    <row r="93" spans="1:9" ht="89.25" x14ac:dyDescent="0.25">
      <c r="A93" s="248">
        <v>76</v>
      </c>
      <c r="B93" s="249" t="s">
        <v>278</v>
      </c>
      <c r="C93" s="255"/>
      <c r="D93" s="255" t="s">
        <v>484</v>
      </c>
      <c r="E93" s="255" t="s">
        <v>381</v>
      </c>
      <c r="F93" s="252">
        <v>24</v>
      </c>
      <c r="G93" s="256">
        <v>288</v>
      </c>
      <c r="H93" s="254">
        <v>134.77000000000001</v>
      </c>
      <c r="I93" s="254">
        <v>38813.760000000002</v>
      </c>
    </row>
    <row r="94" spans="1:9" ht="89.25" x14ac:dyDescent="0.25">
      <c r="A94" s="248">
        <v>77</v>
      </c>
      <c r="B94" s="249" t="s">
        <v>277</v>
      </c>
      <c r="C94" s="255"/>
      <c r="D94" s="255" t="s">
        <v>484</v>
      </c>
      <c r="E94" s="255" t="s">
        <v>374</v>
      </c>
      <c r="F94" s="252">
        <v>25</v>
      </c>
      <c r="G94" s="256">
        <v>300</v>
      </c>
      <c r="H94" s="254">
        <v>25.91</v>
      </c>
      <c r="I94" s="254">
        <v>7773</v>
      </c>
    </row>
    <row r="95" spans="1:9" ht="38.25" x14ac:dyDescent="0.25">
      <c r="A95" s="248">
        <v>78</v>
      </c>
      <c r="B95" s="249" t="s">
        <v>276</v>
      </c>
      <c r="C95" s="255"/>
      <c r="D95" s="255" t="s">
        <v>484</v>
      </c>
      <c r="E95" s="255" t="s">
        <v>381</v>
      </c>
      <c r="F95" s="252">
        <v>2</v>
      </c>
      <c r="G95" s="256">
        <v>24</v>
      </c>
      <c r="H95" s="254">
        <v>155.97</v>
      </c>
      <c r="I95" s="254">
        <v>3743.2799999999997</v>
      </c>
    </row>
    <row r="96" spans="1:9" ht="25.5" x14ac:dyDescent="0.25">
      <c r="A96" s="248">
        <v>79</v>
      </c>
      <c r="B96" s="249" t="s">
        <v>275</v>
      </c>
      <c r="C96" s="255"/>
      <c r="D96" s="255" t="s">
        <v>484</v>
      </c>
      <c r="E96" s="255" t="s">
        <v>374</v>
      </c>
      <c r="F96" s="252">
        <v>18</v>
      </c>
      <c r="G96" s="256">
        <v>216</v>
      </c>
      <c r="H96" s="254">
        <v>10.48</v>
      </c>
      <c r="I96" s="254">
        <v>2263.6800000000003</v>
      </c>
    </row>
    <row r="97" spans="1:9" ht="25.5" x14ac:dyDescent="0.25">
      <c r="A97" s="248">
        <v>80</v>
      </c>
      <c r="B97" s="259" t="s">
        <v>274</v>
      </c>
      <c r="C97" s="255"/>
      <c r="D97" s="255" t="s">
        <v>397</v>
      </c>
      <c r="E97" s="255" t="s">
        <v>209</v>
      </c>
      <c r="F97" s="252">
        <v>2</v>
      </c>
      <c r="G97" s="256">
        <v>2</v>
      </c>
      <c r="H97" s="254">
        <v>12.25</v>
      </c>
      <c r="I97" s="254">
        <v>24.5</v>
      </c>
    </row>
    <row r="98" spans="1:9" ht="25.5" x14ac:dyDescent="0.25">
      <c r="A98" s="248">
        <v>81</v>
      </c>
      <c r="B98" s="249" t="s">
        <v>273</v>
      </c>
      <c r="C98" s="255"/>
      <c r="D98" s="255" t="s">
        <v>397</v>
      </c>
      <c r="E98" s="255" t="s">
        <v>209</v>
      </c>
      <c r="F98" s="252">
        <v>1</v>
      </c>
      <c r="G98" s="256">
        <v>1</v>
      </c>
      <c r="H98" s="254">
        <v>103.43</v>
      </c>
      <c r="I98" s="254">
        <v>103.43</v>
      </c>
    </row>
    <row r="99" spans="1:9" ht="76.5" x14ac:dyDescent="0.25">
      <c r="A99" s="248">
        <v>82</v>
      </c>
      <c r="B99" s="249" t="s">
        <v>272</v>
      </c>
      <c r="C99" s="255"/>
      <c r="D99" s="255" t="s">
        <v>397</v>
      </c>
      <c r="E99" s="255" t="s">
        <v>209</v>
      </c>
      <c r="F99" s="252">
        <v>1</v>
      </c>
      <c r="G99" s="256">
        <v>1</v>
      </c>
      <c r="H99" s="254">
        <v>112.59</v>
      </c>
      <c r="I99" s="254">
        <v>112.59</v>
      </c>
    </row>
    <row r="100" spans="1:9" ht="38.25" x14ac:dyDescent="0.25">
      <c r="A100" s="248">
        <v>83</v>
      </c>
      <c r="B100" s="249" t="s">
        <v>271</v>
      </c>
      <c r="C100" s="255"/>
      <c r="D100" s="255" t="s">
        <v>396</v>
      </c>
      <c r="E100" s="255" t="s">
        <v>209</v>
      </c>
      <c r="F100" s="252">
        <v>2</v>
      </c>
      <c r="G100" s="256">
        <v>4</v>
      </c>
      <c r="H100" s="254">
        <v>69.11</v>
      </c>
      <c r="I100" s="254">
        <v>276.44</v>
      </c>
    </row>
    <row r="101" spans="1:9" ht="25.5" x14ac:dyDescent="0.25">
      <c r="A101" s="248">
        <v>84</v>
      </c>
      <c r="B101" s="260" t="s">
        <v>270</v>
      </c>
      <c r="C101" s="255"/>
      <c r="D101" s="255" t="s">
        <v>397</v>
      </c>
      <c r="E101" s="255" t="s">
        <v>209</v>
      </c>
      <c r="F101" s="252">
        <v>2</v>
      </c>
      <c r="G101" s="256">
        <v>2</v>
      </c>
      <c r="H101" s="254">
        <v>326.38</v>
      </c>
      <c r="I101" s="254">
        <v>652.76</v>
      </c>
    </row>
    <row r="102" spans="1:9" ht="51" x14ac:dyDescent="0.25">
      <c r="A102" s="248">
        <v>85</v>
      </c>
      <c r="B102" s="249" t="s">
        <v>269</v>
      </c>
      <c r="C102" s="255"/>
      <c r="D102" s="255" t="s">
        <v>397</v>
      </c>
      <c r="E102" s="255" t="s">
        <v>209</v>
      </c>
      <c r="F102" s="252">
        <v>1</v>
      </c>
      <c r="G102" s="256">
        <v>1</v>
      </c>
      <c r="H102" s="254">
        <v>350.64</v>
      </c>
      <c r="I102" s="254">
        <v>350.64</v>
      </c>
    </row>
    <row r="103" spans="1:9" ht="25.5" x14ac:dyDescent="0.25">
      <c r="A103" s="248">
        <v>86</v>
      </c>
      <c r="B103" s="249" t="s">
        <v>268</v>
      </c>
      <c r="C103" s="255"/>
      <c r="D103" s="255" t="s">
        <v>483</v>
      </c>
      <c r="E103" s="255" t="s">
        <v>209</v>
      </c>
      <c r="F103" s="252">
        <v>1</v>
      </c>
      <c r="G103" s="256">
        <v>6</v>
      </c>
      <c r="H103" s="254">
        <v>28.64</v>
      </c>
      <c r="I103" s="254">
        <v>171.84</v>
      </c>
    </row>
    <row r="104" spans="1:9" ht="38.25" x14ac:dyDescent="0.25">
      <c r="A104" s="248">
        <v>87</v>
      </c>
      <c r="B104" s="249" t="s">
        <v>382</v>
      </c>
      <c r="C104" s="255"/>
      <c r="D104" s="255" t="s">
        <v>397</v>
      </c>
      <c r="E104" s="255" t="s">
        <v>209</v>
      </c>
      <c r="F104" s="252">
        <v>2</v>
      </c>
      <c r="G104" s="256">
        <v>2</v>
      </c>
      <c r="H104" s="254">
        <v>39.33</v>
      </c>
      <c r="I104" s="254">
        <v>78.66</v>
      </c>
    </row>
    <row r="105" spans="1:9" ht="76.5" x14ac:dyDescent="0.25">
      <c r="A105" s="248">
        <v>88</v>
      </c>
      <c r="B105" s="249" t="s">
        <v>267</v>
      </c>
      <c r="C105" s="255"/>
      <c r="D105" s="255" t="s">
        <v>397</v>
      </c>
      <c r="E105" s="255" t="s">
        <v>209</v>
      </c>
      <c r="F105" s="252">
        <v>2</v>
      </c>
      <c r="G105" s="256">
        <v>2</v>
      </c>
      <c r="H105" s="254">
        <v>27.45</v>
      </c>
      <c r="I105" s="254">
        <v>54.9</v>
      </c>
    </row>
    <row r="106" spans="1:9" ht="25.5" x14ac:dyDescent="0.25">
      <c r="A106" s="248">
        <v>89</v>
      </c>
      <c r="B106" s="249" t="s">
        <v>266</v>
      </c>
      <c r="C106" s="255"/>
      <c r="D106" s="255" t="s">
        <v>397</v>
      </c>
      <c r="E106" s="255" t="s">
        <v>209</v>
      </c>
      <c r="F106" s="252">
        <v>2</v>
      </c>
      <c r="G106" s="256">
        <v>2</v>
      </c>
      <c r="H106" s="254">
        <v>164.33</v>
      </c>
      <c r="I106" s="254">
        <v>328.66</v>
      </c>
    </row>
    <row r="107" spans="1:9" ht="38.25" x14ac:dyDescent="0.25">
      <c r="A107" s="248">
        <v>90</v>
      </c>
      <c r="B107" s="249" t="s">
        <v>383</v>
      </c>
      <c r="C107" s="255"/>
      <c r="D107" s="255" t="s">
        <v>396</v>
      </c>
      <c r="E107" s="255" t="s">
        <v>209</v>
      </c>
      <c r="F107" s="252">
        <v>2</v>
      </c>
      <c r="G107" s="256">
        <v>4</v>
      </c>
      <c r="H107" s="254">
        <v>57.6</v>
      </c>
      <c r="I107" s="254">
        <v>230.4</v>
      </c>
    </row>
    <row r="108" spans="1:9" ht="25.5" x14ac:dyDescent="0.25">
      <c r="A108" s="248">
        <v>91</v>
      </c>
      <c r="B108" s="249" t="s">
        <v>264</v>
      </c>
      <c r="C108" s="255"/>
      <c r="D108" s="255" t="s">
        <v>484</v>
      </c>
      <c r="E108" s="255" t="s">
        <v>209</v>
      </c>
      <c r="F108" s="252">
        <v>1</v>
      </c>
      <c r="G108" s="256">
        <v>12</v>
      </c>
      <c r="H108" s="254">
        <v>10.02</v>
      </c>
      <c r="I108" s="254">
        <v>120.24</v>
      </c>
    </row>
    <row r="109" spans="1:9" ht="25.5" x14ac:dyDescent="0.25">
      <c r="A109" s="248">
        <v>92</v>
      </c>
      <c r="B109" s="249" t="s">
        <v>263</v>
      </c>
      <c r="C109" s="255"/>
      <c r="D109" s="255" t="s">
        <v>485</v>
      </c>
      <c r="E109" s="255" t="s">
        <v>209</v>
      </c>
      <c r="F109" s="252">
        <v>5</v>
      </c>
      <c r="G109" s="256">
        <v>20</v>
      </c>
      <c r="H109" s="254">
        <v>17.899999999999999</v>
      </c>
      <c r="I109" s="254">
        <v>358</v>
      </c>
    </row>
    <row r="110" spans="1:9" ht="25.5" x14ac:dyDescent="0.25">
      <c r="A110" s="248">
        <v>93</v>
      </c>
      <c r="B110" s="249" t="s">
        <v>262</v>
      </c>
      <c r="C110" s="255"/>
      <c r="D110" s="255" t="s">
        <v>483</v>
      </c>
      <c r="E110" s="255" t="s">
        <v>374</v>
      </c>
      <c r="F110" s="252">
        <v>1</v>
      </c>
      <c r="G110" s="256">
        <v>6</v>
      </c>
      <c r="H110" s="254">
        <v>14.34</v>
      </c>
      <c r="I110" s="254">
        <v>86.039999999999992</v>
      </c>
    </row>
    <row r="111" spans="1:9" ht="25.5" x14ac:dyDescent="0.25">
      <c r="A111" s="248">
        <v>94</v>
      </c>
      <c r="B111" s="249" t="s">
        <v>261</v>
      </c>
      <c r="C111" s="255"/>
      <c r="D111" s="255" t="s">
        <v>484</v>
      </c>
      <c r="E111" s="255" t="s">
        <v>374</v>
      </c>
      <c r="F111" s="252">
        <v>1</v>
      </c>
      <c r="G111" s="256">
        <v>12</v>
      </c>
      <c r="H111" s="254">
        <v>14.34</v>
      </c>
      <c r="I111" s="254">
        <v>172.07999999999998</v>
      </c>
    </row>
    <row r="112" spans="1:9" ht="25.5" x14ac:dyDescent="0.25">
      <c r="A112" s="248">
        <v>95</v>
      </c>
      <c r="B112" s="249" t="s">
        <v>384</v>
      </c>
      <c r="C112" s="258"/>
      <c r="D112" s="258" t="s">
        <v>396</v>
      </c>
      <c r="E112" s="258" t="s">
        <v>373</v>
      </c>
      <c r="F112" s="252">
        <v>2</v>
      </c>
      <c r="G112" s="253">
        <v>4</v>
      </c>
      <c r="H112" s="254">
        <v>37.270000000000003</v>
      </c>
      <c r="I112" s="254">
        <v>149.08000000000001</v>
      </c>
    </row>
    <row r="113" spans="1:9" ht="165.75" x14ac:dyDescent="0.25">
      <c r="A113" s="248">
        <v>96</v>
      </c>
      <c r="B113" s="249" t="s">
        <v>260</v>
      </c>
      <c r="C113" s="255"/>
      <c r="D113" s="255" t="s">
        <v>484</v>
      </c>
      <c r="E113" s="255" t="s">
        <v>373</v>
      </c>
      <c r="F113" s="252">
        <v>7</v>
      </c>
      <c r="G113" s="256">
        <v>84</v>
      </c>
      <c r="H113" s="254">
        <v>64.36</v>
      </c>
      <c r="I113" s="254">
        <v>5406.24</v>
      </c>
    </row>
    <row r="114" spans="1:9" ht="63.75" x14ac:dyDescent="0.25">
      <c r="A114" s="248">
        <v>97</v>
      </c>
      <c r="B114" s="249" t="s">
        <v>259</v>
      </c>
      <c r="C114" s="255"/>
      <c r="D114" s="255" t="s">
        <v>484</v>
      </c>
      <c r="E114" s="255" t="s">
        <v>209</v>
      </c>
      <c r="F114" s="252">
        <v>2</v>
      </c>
      <c r="G114" s="256">
        <v>24</v>
      </c>
      <c r="H114" s="254">
        <v>80.81</v>
      </c>
      <c r="I114" s="254">
        <v>1939.44</v>
      </c>
    </row>
    <row r="115" spans="1:9" ht="51" x14ac:dyDescent="0.25">
      <c r="A115" s="248">
        <v>98</v>
      </c>
      <c r="B115" s="249" t="s">
        <v>258</v>
      </c>
      <c r="C115" s="255"/>
      <c r="D115" s="255" t="s">
        <v>484</v>
      </c>
      <c r="E115" s="255" t="s">
        <v>209</v>
      </c>
      <c r="F115" s="252">
        <v>1</v>
      </c>
      <c r="G115" s="256">
        <v>12</v>
      </c>
      <c r="H115" s="254">
        <v>26.19</v>
      </c>
      <c r="I115" s="254">
        <v>314.28000000000003</v>
      </c>
    </row>
    <row r="116" spans="1:9" ht="51" x14ac:dyDescent="0.25">
      <c r="A116" s="248">
        <v>99</v>
      </c>
      <c r="B116" s="249" t="s">
        <v>257</v>
      </c>
      <c r="C116" s="255"/>
      <c r="D116" s="255" t="s">
        <v>484</v>
      </c>
      <c r="E116" s="255" t="s">
        <v>209</v>
      </c>
      <c r="F116" s="252">
        <v>2</v>
      </c>
      <c r="G116" s="256">
        <v>24</v>
      </c>
      <c r="H116" s="254">
        <v>112.61</v>
      </c>
      <c r="I116" s="254">
        <v>2702.64</v>
      </c>
    </row>
    <row r="117" spans="1:9" ht="51" x14ac:dyDescent="0.25">
      <c r="A117" s="248">
        <v>100</v>
      </c>
      <c r="B117" s="249" t="s">
        <v>256</v>
      </c>
      <c r="C117" s="255"/>
      <c r="D117" s="255" t="s">
        <v>484</v>
      </c>
      <c r="E117" s="255" t="s">
        <v>209</v>
      </c>
      <c r="F117" s="252">
        <v>1</v>
      </c>
      <c r="G117" s="256">
        <v>12</v>
      </c>
      <c r="H117" s="254">
        <v>36.79</v>
      </c>
      <c r="I117" s="254">
        <v>441.48</v>
      </c>
    </row>
    <row r="118" spans="1:9" ht="51" x14ac:dyDescent="0.25">
      <c r="A118" s="248">
        <v>101</v>
      </c>
      <c r="B118" s="249" t="s">
        <v>255</v>
      </c>
      <c r="C118" s="255"/>
      <c r="D118" s="255" t="s">
        <v>484</v>
      </c>
      <c r="E118" s="255" t="s">
        <v>209</v>
      </c>
      <c r="F118" s="252">
        <v>1</v>
      </c>
      <c r="G118" s="256">
        <v>12</v>
      </c>
      <c r="H118" s="254">
        <v>70.260000000000005</v>
      </c>
      <c r="I118" s="254">
        <v>843.12000000000012</v>
      </c>
    </row>
    <row r="119" spans="1:9" ht="51" x14ac:dyDescent="0.25">
      <c r="A119" s="248">
        <v>102</v>
      </c>
      <c r="B119" s="249" t="s">
        <v>254</v>
      </c>
      <c r="C119" s="258"/>
      <c r="D119" s="258" t="s">
        <v>397</v>
      </c>
      <c r="E119" s="258" t="s">
        <v>209</v>
      </c>
      <c r="F119" s="252">
        <v>2</v>
      </c>
      <c r="G119" s="253">
        <v>2</v>
      </c>
      <c r="H119" s="254">
        <v>192.23</v>
      </c>
      <c r="I119" s="254">
        <v>384.46</v>
      </c>
    </row>
    <row r="120" spans="1:9" ht="25.5" x14ac:dyDescent="0.25">
      <c r="A120" s="248">
        <v>103</v>
      </c>
      <c r="B120" s="249" t="s">
        <v>253</v>
      </c>
      <c r="C120" s="258"/>
      <c r="D120" s="258" t="s">
        <v>397</v>
      </c>
      <c r="E120" s="258" t="s">
        <v>209</v>
      </c>
      <c r="F120" s="252">
        <v>1</v>
      </c>
      <c r="G120" s="253">
        <v>1</v>
      </c>
      <c r="H120" s="254">
        <v>47.18</v>
      </c>
      <c r="I120" s="254">
        <v>47.18</v>
      </c>
    </row>
    <row r="121" spans="1:9" ht="38.25" x14ac:dyDescent="0.25">
      <c r="A121" s="248">
        <v>104</v>
      </c>
      <c r="B121" s="249" t="s">
        <v>252</v>
      </c>
      <c r="C121" s="258"/>
      <c r="D121" s="258" t="s">
        <v>397</v>
      </c>
      <c r="E121" s="258" t="s">
        <v>209</v>
      </c>
      <c r="F121" s="252">
        <v>1</v>
      </c>
      <c r="G121" s="253">
        <v>1</v>
      </c>
      <c r="H121" s="254">
        <v>54.6</v>
      </c>
      <c r="I121" s="254">
        <v>54.6</v>
      </c>
    </row>
    <row r="122" spans="1:9" ht="38.25" x14ac:dyDescent="0.25">
      <c r="A122" s="248">
        <v>105</v>
      </c>
      <c r="B122" s="259" t="s">
        <v>251</v>
      </c>
      <c r="C122" s="258"/>
      <c r="D122" s="258" t="s">
        <v>484</v>
      </c>
      <c r="E122" s="258" t="s">
        <v>374</v>
      </c>
      <c r="F122" s="252">
        <v>1</v>
      </c>
      <c r="G122" s="253">
        <v>12</v>
      </c>
      <c r="H122" s="254">
        <v>21.32</v>
      </c>
      <c r="I122" s="254">
        <v>255.84</v>
      </c>
    </row>
    <row r="123" spans="1:9" ht="25.5" x14ac:dyDescent="0.25">
      <c r="A123" s="248">
        <v>106</v>
      </c>
      <c r="B123" s="249" t="s">
        <v>250</v>
      </c>
      <c r="C123" s="258"/>
      <c r="D123" s="258" t="s">
        <v>397</v>
      </c>
      <c r="E123" s="258" t="s">
        <v>209</v>
      </c>
      <c r="F123" s="252">
        <v>1</v>
      </c>
      <c r="G123" s="253">
        <v>1</v>
      </c>
      <c r="H123" s="254">
        <v>149.27000000000001</v>
      </c>
      <c r="I123" s="254">
        <v>149.27000000000001</v>
      </c>
    </row>
    <row r="124" spans="1:9" ht="25.5" x14ac:dyDescent="0.25">
      <c r="A124" s="248">
        <v>107</v>
      </c>
      <c r="B124" s="249" t="s">
        <v>249</v>
      </c>
      <c r="C124" s="258"/>
      <c r="D124" s="258" t="s">
        <v>397</v>
      </c>
      <c r="E124" s="258" t="s">
        <v>209</v>
      </c>
      <c r="F124" s="252">
        <v>1</v>
      </c>
      <c r="G124" s="253">
        <v>1</v>
      </c>
      <c r="H124" s="254">
        <v>40.549999999999997</v>
      </c>
      <c r="I124" s="254">
        <v>40.549999999999997</v>
      </c>
    </row>
    <row r="125" spans="1:9" ht="25.5" x14ac:dyDescent="0.25">
      <c r="A125" s="248">
        <v>108</v>
      </c>
      <c r="B125" s="249" t="s">
        <v>248</v>
      </c>
      <c r="C125" s="258"/>
      <c r="D125" s="258" t="s">
        <v>484</v>
      </c>
      <c r="E125" s="258" t="s">
        <v>209</v>
      </c>
      <c r="F125" s="252">
        <v>3</v>
      </c>
      <c r="G125" s="253">
        <v>36</v>
      </c>
      <c r="H125" s="254">
        <v>18.600000000000001</v>
      </c>
      <c r="I125" s="254">
        <v>669.6</v>
      </c>
    </row>
    <row r="126" spans="1:9" ht="25.5" x14ac:dyDescent="0.25">
      <c r="A126" s="248">
        <v>109</v>
      </c>
      <c r="B126" s="249" t="s">
        <v>247</v>
      </c>
      <c r="C126" s="258"/>
      <c r="D126" s="258" t="s">
        <v>397</v>
      </c>
      <c r="E126" s="258" t="s">
        <v>209</v>
      </c>
      <c r="F126" s="252">
        <v>9</v>
      </c>
      <c r="G126" s="253">
        <v>9</v>
      </c>
      <c r="H126" s="254">
        <v>34.200000000000003</v>
      </c>
      <c r="I126" s="254">
        <v>307.8</v>
      </c>
    </row>
    <row r="127" spans="1:9" ht="25.5" x14ac:dyDescent="0.25">
      <c r="A127" s="248">
        <v>110</v>
      </c>
      <c r="B127" s="249" t="s">
        <v>246</v>
      </c>
      <c r="C127" s="258"/>
      <c r="D127" s="258" t="s">
        <v>397</v>
      </c>
      <c r="E127" s="258" t="s">
        <v>209</v>
      </c>
      <c r="F127" s="252">
        <v>3</v>
      </c>
      <c r="G127" s="253">
        <v>3</v>
      </c>
      <c r="H127" s="254">
        <v>25.57</v>
      </c>
      <c r="I127" s="254">
        <v>76.710000000000008</v>
      </c>
    </row>
    <row r="128" spans="1:9" ht="25.5" x14ac:dyDescent="0.25">
      <c r="A128" s="248">
        <v>111</v>
      </c>
      <c r="B128" s="249" t="s">
        <v>245</v>
      </c>
      <c r="C128" s="258"/>
      <c r="D128" s="258" t="s">
        <v>397</v>
      </c>
      <c r="E128" s="258" t="s">
        <v>209</v>
      </c>
      <c r="F128" s="252">
        <v>3</v>
      </c>
      <c r="G128" s="253">
        <v>3</v>
      </c>
      <c r="H128" s="254">
        <v>48.55</v>
      </c>
      <c r="I128" s="254">
        <v>145.64999999999998</v>
      </c>
    </row>
    <row r="129" spans="1:9" ht="38.25" x14ac:dyDescent="0.25">
      <c r="A129" s="248">
        <v>112</v>
      </c>
      <c r="B129" s="249" t="s">
        <v>244</v>
      </c>
      <c r="C129" s="258"/>
      <c r="D129" s="258" t="s">
        <v>484</v>
      </c>
      <c r="E129" s="258" t="s">
        <v>209</v>
      </c>
      <c r="F129" s="252">
        <v>3</v>
      </c>
      <c r="G129" s="253">
        <v>36</v>
      </c>
      <c r="H129" s="254">
        <v>18.95</v>
      </c>
      <c r="I129" s="254">
        <v>682.19999999999993</v>
      </c>
    </row>
    <row r="130" spans="1:9" ht="25.5" x14ac:dyDescent="0.25">
      <c r="A130" s="248">
        <v>113</v>
      </c>
      <c r="B130" s="249" t="s">
        <v>243</v>
      </c>
      <c r="C130" s="258"/>
      <c r="D130" s="258" t="s">
        <v>484</v>
      </c>
      <c r="E130" s="258" t="s">
        <v>209</v>
      </c>
      <c r="F130" s="252">
        <v>2</v>
      </c>
      <c r="G130" s="253">
        <v>24</v>
      </c>
      <c r="H130" s="254">
        <v>18.170000000000002</v>
      </c>
      <c r="I130" s="254">
        <v>436.08000000000004</v>
      </c>
    </row>
    <row r="131" spans="1:9" ht="25.5" x14ac:dyDescent="0.25">
      <c r="A131" s="248">
        <v>114</v>
      </c>
      <c r="B131" s="249" t="s">
        <v>242</v>
      </c>
      <c r="C131" s="255"/>
      <c r="D131" s="255" t="s">
        <v>396</v>
      </c>
      <c r="E131" s="255" t="s">
        <v>209</v>
      </c>
      <c r="F131" s="252">
        <v>6</v>
      </c>
      <c r="G131" s="256">
        <v>12</v>
      </c>
      <c r="H131" s="254">
        <v>39</v>
      </c>
      <c r="I131" s="254">
        <v>468</v>
      </c>
    </row>
    <row r="132" spans="1:9" ht="25.5" x14ac:dyDescent="0.25">
      <c r="A132" s="248">
        <v>115</v>
      </c>
      <c r="B132" s="249" t="s">
        <v>241</v>
      </c>
      <c r="C132" s="255"/>
      <c r="D132" s="255" t="s">
        <v>396</v>
      </c>
      <c r="E132" s="255" t="s">
        <v>209</v>
      </c>
      <c r="F132" s="252">
        <v>6</v>
      </c>
      <c r="G132" s="256">
        <v>12</v>
      </c>
      <c r="H132" s="254">
        <v>23.5</v>
      </c>
      <c r="I132" s="254">
        <v>282</v>
      </c>
    </row>
    <row r="133" spans="1:9" ht="25.5" x14ac:dyDescent="0.25">
      <c r="A133" s="248">
        <v>116</v>
      </c>
      <c r="B133" s="249" t="s">
        <v>240</v>
      </c>
      <c r="C133" s="255"/>
      <c r="D133" s="255" t="s">
        <v>397</v>
      </c>
      <c r="E133" s="255" t="s">
        <v>209</v>
      </c>
      <c r="F133" s="252">
        <v>2</v>
      </c>
      <c r="G133" s="256">
        <v>2</v>
      </c>
      <c r="H133" s="254">
        <v>15.78</v>
      </c>
      <c r="I133" s="254">
        <v>31.56</v>
      </c>
    </row>
    <row r="134" spans="1:9" ht="25.5" x14ac:dyDescent="0.25">
      <c r="A134" s="231"/>
      <c r="B134" s="232"/>
      <c r="C134" s="229"/>
      <c r="D134" s="229"/>
      <c r="E134" s="229"/>
      <c r="F134" s="224"/>
      <c r="G134" s="261" t="s">
        <v>385</v>
      </c>
      <c r="H134" s="262"/>
      <c r="I134" s="262">
        <f>SUM(I18:I133)</f>
        <v>133305.38999999996</v>
      </c>
    </row>
    <row r="135" spans="1:9" x14ac:dyDescent="0.25">
      <c r="A135" s="263"/>
      <c r="B135" s="264"/>
      <c r="C135" s="265"/>
      <c r="D135" s="265"/>
      <c r="E135" s="265"/>
      <c r="F135" s="266"/>
      <c r="G135" s="267"/>
      <c r="H135" s="268"/>
      <c r="I135" s="268"/>
    </row>
    <row r="136" spans="1:9" ht="15.75" customHeight="1" x14ac:dyDescent="0.25">
      <c r="A136" s="355" t="str">
        <f>B$1</f>
        <v>ASG</v>
      </c>
      <c r="B136" s="355"/>
      <c r="C136" s="355"/>
      <c r="D136" s="355"/>
      <c r="E136" s="355"/>
      <c r="F136" s="355"/>
      <c r="G136" s="355"/>
      <c r="H136" s="355"/>
      <c r="I136" s="355"/>
    </row>
    <row r="137" spans="1:9" ht="15.75" customHeight="1" x14ac:dyDescent="0.25">
      <c r="A137" s="356" t="s">
        <v>486</v>
      </c>
      <c r="B137" s="356"/>
      <c r="C137" s="356"/>
      <c r="D137" s="356"/>
      <c r="E137" s="356"/>
      <c r="F137" s="356"/>
      <c r="G137" s="356"/>
      <c r="H137" s="356"/>
      <c r="I137" s="356"/>
    </row>
    <row r="138" spans="1:9" ht="51" customHeight="1" x14ac:dyDescent="0.25">
      <c r="A138" s="233" t="s">
        <v>234</v>
      </c>
      <c r="B138" s="247" t="s">
        <v>360</v>
      </c>
      <c r="C138" s="233" t="s">
        <v>361</v>
      </c>
      <c r="D138" s="233" t="s">
        <v>481</v>
      </c>
      <c r="E138" s="233" t="s">
        <v>362</v>
      </c>
      <c r="F138" s="234" t="s">
        <v>482</v>
      </c>
      <c r="G138" s="234" t="s">
        <v>363</v>
      </c>
      <c r="H138" s="235" t="s">
        <v>364</v>
      </c>
      <c r="I138" s="235" t="s">
        <v>365</v>
      </c>
    </row>
    <row r="139" spans="1:9" ht="171.95" customHeight="1" x14ac:dyDescent="0.25">
      <c r="A139" s="248">
        <v>1</v>
      </c>
      <c r="B139" s="249" t="s">
        <v>239</v>
      </c>
      <c r="C139" s="250" t="s">
        <v>386</v>
      </c>
      <c r="D139" s="250" t="s">
        <v>397</v>
      </c>
      <c r="E139" s="251" t="s">
        <v>209</v>
      </c>
      <c r="F139" s="252">
        <v>1</v>
      </c>
      <c r="G139" s="253">
        <v>1</v>
      </c>
      <c r="H139" s="254">
        <v>400.16</v>
      </c>
      <c r="I139" s="254">
        <v>400.16</v>
      </c>
    </row>
    <row r="140" spans="1:9" ht="162.94999999999999" customHeight="1" x14ac:dyDescent="0.25">
      <c r="A140" s="248">
        <v>2</v>
      </c>
      <c r="B140" s="249" t="s">
        <v>487</v>
      </c>
      <c r="C140" s="250" t="s">
        <v>205</v>
      </c>
      <c r="D140" s="250" t="s">
        <v>397</v>
      </c>
      <c r="E140" s="251" t="s">
        <v>209</v>
      </c>
      <c r="F140" s="252">
        <v>1</v>
      </c>
      <c r="G140" s="253">
        <v>1</v>
      </c>
      <c r="H140" s="254">
        <v>916.8</v>
      </c>
      <c r="I140" s="254">
        <v>916.8</v>
      </c>
    </row>
    <row r="141" spans="1:9" ht="80.099999999999994" customHeight="1" x14ac:dyDescent="0.25">
      <c r="A141" s="248">
        <v>3</v>
      </c>
      <c r="B141" s="249" t="s">
        <v>238</v>
      </c>
      <c r="C141" s="250"/>
      <c r="D141" s="250" t="s">
        <v>397</v>
      </c>
      <c r="E141" s="251" t="s">
        <v>209</v>
      </c>
      <c r="F141" s="252">
        <v>1</v>
      </c>
      <c r="G141" s="253">
        <v>1</v>
      </c>
      <c r="H141" s="254">
        <v>357.96</v>
      </c>
      <c r="I141" s="254">
        <v>357.96</v>
      </c>
    </row>
    <row r="142" spans="1:9" ht="216.95" customHeight="1" x14ac:dyDescent="0.25">
      <c r="A142" s="248">
        <v>4</v>
      </c>
      <c r="B142" s="249" t="s">
        <v>488</v>
      </c>
      <c r="C142" s="250"/>
      <c r="D142" s="250" t="s">
        <v>397</v>
      </c>
      <c r="E142" s="251" t="s">
        <v>209</v>
      </c>
      <c r="F142" s="252">
        <v>2</v>
      </c>
      <c r="G142" s="253">
        <v>2</v>
      </c>
      <c r="H142" s="254">
        <v>1557.02</v>
      </c>
      <c r="I142" s="254">
        <v>3114.04</v>
      </c>
    </row>
    <row r="143" spans="1:9" ht="84.6" customHeight="1" x14ac:dyDescent="0.25">
      <c r="A143" s="248">
        <v>5</v>
      </c>
      <c r="B143" s="249" t="s">
        <v>237</v>
      </c>
      <c r="C143" s="250"/>
      <c r="D143" s="250" t="s">
        <v>397</v>
      </c>
      <c r="E143" s="251" t="s">
        <v>209</v>
      </c>
      <c r="F143" s="252">
        <v>2</v>
      </c>
      <c r="G143" s="253">
        <v>2</v>
      </c>
      <c r="H143" s="254">
        <v>967.27</v>
      </c>
      <c r="I143" s="254">
        <v>1934.54</v>
      </c>
    </row>
    <row r="144" spans="1:9" ht="162" customHeight="1" x14ac:dyDescent="0.25">
      <c r="A144" s="248">
        <v>6</v>
      </c>
      <c r="B144" s="249" t="s">
        <v>236</v>
      </c>
      <c r="C144" s="250"/>
      <c r="D144" s="250" t="s">
        <v>397</v>
      </c>
      <c r="E144" s="251" t="s">
        <v>209</v>
      </c>
      <c r="F144" s="252">
        <v>1</v>
      </c>
      <c r="G144" s="253">
        <v>1</v>
      </c>
      <c r="H144" s="254">
        <v>2109.36</v>
      </c>
      <c r="I144" s="254">
        <v>2109.36</v>
      </c>
    </row>
    <row r="145" spans="1:9" ht="51" x14ac:dyDescent="0.25">
      <c r="A145" s="248">
        <v>7</v>
      </c>
      <c r="B145" s="249" t="s">
        <v>489</v>
      </c>
      <c r="C145" s="250"/>
      <c r="D145" s="250" t="s">
        <v>397</v>
      </c>
      <c r="E145" s="251" t="s">
        <v>209</v>
      </c>
      <c r="F145" s="252">
        <v>2</v>
      </c>
      <c r="G145" s="253">
        <v>2</v>
      </c>
      <c r="H145" s="254">
        <v>206.56</v>
      </c>
      <c r="I145" s="254">
        <v>413.12</v>
      </c>
    </row>
    <row r="146" spans="1:9" ht="216.6" customHeight="1" x14ac:dyDescent="0.25">
      <c r="A146" s="248">
        <v>8</v>
      </c>
      <c r="B146" s="249" t="s">
        <v>490</v>
      </c>
      <c r="C146" s="250"/>
      <c r="D146" s="250" t="s">
        <v>397</v>
      </c>
      <c r="E146" s="251" t="s">
        <v>209</v>
      </c>
      <c r="F146" s="252">
        <v>1</v>
      </c>
      <c r="G146" s="253">
        <v>1</v>
      </c>
      <c r="H146" s="254">
        <v>2752.24</v>
      </c>
      <c r="I146" s="254">
        <v>2752.24</v>
      </c>
    </row>
    <row r="147" spans="1:9" ht="210.6" customHeight="1" x14ac:dyDescent="0.25">
      <c r="A147" s="248">
        <v>9</v>
      </c>
      <c r="B147" s="249" t="s">
        <v>491</v>
      </c>
      <c r="C147" s="250" t="s">
        <v>387</v>
      </c>
      <c r="D147" s="250" t="s">
        <v>397</v>
      </c>
      <c r="E147" s="251" t="s">
        <v>209</v>
      </c>
      <c r="F147" s="252">
        <v>2</v>
      </c>
      <c r="G147" s="253">
        <v>2</v>
      </c>
      <c r="H147" s="254">
        <v>1479.85</v>
      </c>
      <c r="I147" s="254">
        <v>2959.7</v>
      </c>
    </row>
    <row r="148" spans="1:9" ht="60" customHeight="1" x14ac:dyDescent="0.25">
      <c r="A148" s="248">
        <v>10</v>
      </c>
      <c r="B148" s="269" t="s">
        <v>492</v>
      </c>
      <c r="C148" s="250"/>
      <c r="D148" s="250" t="s">
        <v>397</v>
      </c>
      <c r="E148" s="251" t="s">
        <v>209</v>
      </c>
      <c r="F148" s="252">
        <v>3</v>
      </c>
      <c r="G148" s="253">
        <v>3</v>
      </c>
      <c r="H148" s="254">
        <v>1276.17</v>
      </c>
      <c r="I148" s="254">
        <v>3828.51</v>
      </c>
    </row>
    <row r="149" spans="1:9" ht="74.45" customHeight="1" x14ac:dyDescent="0.25">
      <c r="A149" s="270">
        <v>11</v>
      </c>
      <c r="B149" s="271" t="s">
        <v>235</v>
      </c>
      <c r="C149" s="272"/>
      <c r="D149" s="250" t="s">
        <v>397</v>
      </c>
      <c r="E149" s="273" t="s">
        <v>209</v>
      </c>
      <c r="F149" s="252">
        <v>4</v>
      </c>
      <c r="G149" s="274">
        <v>4</v>
      </c>
      <c r="H149" s="275">
        <v>831.3</v>
      </c>
      <c r="I149" s="275">
        <v>3325.2</v>
      </c>
    </row>
    <row r="150" spans="1:9" ht="60" customHeight="1" x14ac:dyDescent="0.25">
      <c r="A150" s="276">
        <v>12</v>
      </c>
      <c r="B150" s="277" t="s">
        <v>493</v>
      </c>
      <c r="C150" s="278" t="s">
        <v>388</v>
      </c>
      <c r="D150" s="250" t="s">
        <v>397</v>
      </c>
      <c r="E150" s="279" t="s">
        <v>207</v>
      </c>
      <c r="F150" s="252">
        <v>10</v>
      </c>
      <c r="G150" s="280">
        <v>10</v>
      </c>
      <c r="H150" s="281">
        <v>659.63</v>
      </c>
      <c r="I150" s="281">
        <v>6596.3</v>
      </c>
    </row>
    <row r="151" spans="1:9" ht="25.5" x14ac:dyDescent="0.25">
      <c r="A151" s="231"/>
      <c r="B151" s="232"/>
      <c r="C151" s="229"/>
      <c r="D151" s="229"/>
      <c r="E151" s="229"/>
      <c r="F151" s="224"/>
      <c r="G151" s="261" t="s">
        <v>385</v>
      </c>
      <c r="H151" s="262"/>
      <c r="I151" s="262">
        <f>SUM(I139:I150)</f>
        <v>28707.93</v>
      </c>
    </row>
    <row r="152" spans="1:9" x14ac:dyDescent="0.25">
      <c r="A152" s="263"/>
      <c r="B152" s="264"/>
      <c r="C152" s="265"/>
      <c r="D152" s="265"/>
      <c r="E152" s="265"/>
      <c r="F152" s="266"/>
      <c r="G152" s="266"/>
      <c r="H152" s="282"/>
      <c r="I152" s="282"/>
    </row>
    <row r="153" spans="1:9" ht="18" customHeight="1" x14ac:dyDescent="0.25">
      <c r="A153" s="350" t="str">
        <f>B$1</f>
        <v>ASG</v>
      </c>
      <c r="B153" s="350"/>
      <c r="C153" s="350"/>
      <c r="D153" s="350"/>
      <c r="E153" s="350"/>
      <c r="F153" s="350"/>
      <c r="G153" s="350"/>
      <c r="H153" s="350"/>
      <c r="I153" s="350"/>
    </row>
    <row r="154" spans="1:9" ht="18" customHeight="1" x14ac:dyDescent="0.25">
      <c r="A154" s="351" t="s">
        <v>495</v>
      </c>
      <c r="B154" s="351"/>
      <c r="C154" s="351"/>
      <c r="D154" s="351"/>
      <c r="E154" s="351"/>
      <c r="F154" s="351"/>
      <c r="G154" s="351"/>
      <c r="H154" s="351"/>
      <c r="I154" s="351"/>
    </row>
    <row r="155" spans="1:9" ht="38.25" x14ac:dyDescent="0.25">
      <c r="A155" s="283" t="s">
        <v>234</v>
      </c>
      <c r="B155" s="247" t="s">
        <v>360</v>
      </c>
      <c r="C155" s="233" t="s">
        <v>361</v>
      </c>
      <c r="D155" s="233" t="s">
        <v>481</v>
      </c>
      <c r="E155" s="233" t="s">
        <v>362</v>
      </c>
      <c r="F155" s="234" t="s">
        <v>482</v>
      </c>
      <c r="G155" s="234" t="s">
        <v>363</v>
      </c>
      <c r="H155" s="235" t="s">
        <v>364</v>
      </c>
      <c r="I155" s="235" t="s">
        <v>365</v>
      </c>
    </row>
    <row r="156" spans="1:9" ht="261" customHeight="1" x14ac:dyDescent="0.25">
      <c r="A156" s="248">
        <v>1</v>
      </c>
      <c r="B156" s="249" t="s">
        <v>233</v>
      </c>
      <c r="C156" s="248"/>
      <c r="D156" s="248" t="s">
        <v>397</v>
      </c>
      <c r="E156" s="248" t="s">
        <v>207</v>
      </c>
      <c r="F156" s="252">
        <v>10</v>
      </c>
      <c r="G156" s="284">
        <v>10</v>
      </c>
      <c r="H156" s="254">
        <v>62.05</v>
      </c>
      <c r="I156" s="254">
        <v>620.5</v>
      </c>
    </row>
    <row r="157" spans="1:9" ht="246.6" customHeight="1" x14ac:dyDescent="0.25">
      <c r="A157" s="248">
        <v>2</v>
      </c>
      <c r="B157" s="249" t="s">
        <v>232</v>
      </c>
      <c r="C157" s="248"/>
      <c r="D157" s="248" t="s">
        <v>397</v>
      </c>
      <c r="E157" s="248" t="s">
        <v>207</v>
      </c>
      <c r="F157" s="252">
        <v>5</v>
      </c>
      <c r="G157" s="284">
        <v>5</v>
      </c>
      <c r="H157" s="254">
        <v>63.05</v>
      </c>
      <c r="I157" s="254">
        <v>315.25</v>
      </c>
    </row>
    <row r="158" spans="1:9" ht="209.45" customHeight="1" x14ac:dyDescent="0.25">
      <c r="A158" s="248">
        <v>3</v>
      </c>
      <c r="B158" s="249" t="s">
        <v>231</v>
      </c>
      <c r="C158" s="248"/>
      <c r="D158" s="248" t="s">
        <v>397</v>
      </c>
      <c r="E158" s="248" t="s">
        <v>209</v>
      </c>
      <c r="F158" s="252">
        <v>5</v>
      </c>
      <c r="G158" s="284">
        <v>5</v>
      </c>
      <c r="H158" s="254">
        <v>20.45</v>
      </c>
      <c r="I158" s="254">
        <v>102.25</v>
      </c>
    </row>
    <row r="159" spans="1:9" ht="160.5" customHeight="1" x14ac:dyDescent="0.25">
      <c r="A159" s="248">
        <v>4</v>
      </c>
      <c r="B159" s="249" t="s">
        <v>230</v>
      </c>
      <c r="C159" s="248"/>
      <c r="D159" s="248" t="s">
        <v>397</v>
      </c>
      <c r="E159" s="248" t="s">
        <v>209</v>
      </c>
      <c r="F159" s="252">
        <v>5</v>
      </c>
      <c r="G159" s="284">
        <v>5</v>
      </c>
      <c r="H159" s="254">
        <v>25.17</v>
      </c>
      <c r="I159" s="254">
        <v>125.85000000000001</v>
      </c>
    </row>
    <row r="160" spans="1:9" ht="69.599999999999994" customHeight="1" x14ac:dyDescent="0.25">
      <c r="A160" s="248">
        <v>5</v>
      </c>
      <c r="B160" s="249" t="s">
        <v>229</v>
      </c>
      <c r="C160" s="248"/>
      <c r="D160" s="248" t="s">
        <v>396</v>
      </c>
      <c r="E160" s="248" t="s">
        <v>209</v>
      </c>
      <c r="F160" s="252">
        <v>5</v>
      </c>
      <c r="G160" s="253">
        <v>10</v>
      </c>
      <c r="H160" s="254">
        <v>40.64</v>
      </c>
      <c r="I160" s="254">
        <v>406.4</v>
      </c>
    </row>
    <row r="161" spans="1:9" ht="153" customHeight="1" x14ac:dyDescent="0.25">
      <c r="A161" s="248">
        <v>6</v>
      </c>
      <c r="B161" s="249" t="s">
        <v>228</v>
      </c>
      <c r="C161" s="285"/>
      <c r="D161" s="285" t="s">
        <v>484</v>
      </c>
      <c r="E161" s="248" t="s">
        <v>209</v>
      </c>
      <c r="F161" s="252">
        <v>9</v>
      </c>
      <c r="G161" s="253">
        <v>108</v>
      </c>
      <c r="H161" s="254">
        <v>17.96</v>
      </c>
      <c r="I161" s="254">
        <v>1939.68</v>
      </c>
    </row>
    <row r="162" spans="1:9" ht="75.95" customHeight="1" x14ac:dyDescent="0.25">
      <c r="A162" s="248">
        <v>7</v>
      </c>
      <c r="B162" s="249" t="s">
        <v>227</v>
      </c>
      <c r="C162" s="285"/>
      <c r="D162" s="285" t="s">
        <v>484</v>
      </c>
      <c r="E162" s="248" t="s">
        <v>389</v>
      </c>
      <c r="F162" s="252">
        <v>2</v>
      </c>
      <c r="G162" s="253">
        <v>24</v>
      </c>
      <c r="H162" s="254">
        <v>23.24</v>
      </c>
      <c r="I162" s="254">
        <v>557.76</v>
      </c>
    </row>
    <row r="163" spans="1:9" ht="192" customHeight="1" x14ac:dyDescent="0.25">
      <c r="A163" s="248">
        <v>8</v>
      </c>
      <c r="B163" s="249" t="s">
        <v>226</v>
      </c>
      <c r="C163" s="285"/>
      <c r="D163" s="285" t="s">
        <v>396</v>
      </c>
      <c r="E163" s="248" t="s">
        <v>207</v>
      </c>
      <c r="F163" s="252">
        <v>13.5</v>
      </c>
      <c r="G163" s="253">
        <v>27</v>
      </c>
      <c r="H163" s="254">
        <v>17.57</v>
      </c>
      <c r="I163" s="254">
        <v>474.39</v>
      </c>
    </row>
    <row r="164" spans="1:9" ht="188.1" customHeight="1" x14ac:dyDescent="0.25">
      <c r="A164" s="248">
        <v>9</v>
      </c>
      <c r="B164" s="249" t="s">
        <v>225</v>
      </c>
      <c r="C164" s="285"/>
      <c r="D164" s="285" t="s">
        <v>397</v>
      </c>
      <c r="E164" s="248" t="s">
        <v>207</v>
      </c>
      <c r="F164" s="252">
        <v>10</v>
      </c>
      <c r="G164" s="253">
        <v>10</v>
      </c>
      <c r="H164" s="254">
        <v>10.68</v>
      </c>
      <c r="I164" s="254">
        <v>106.8</v>
      </c>
    </row>
    <row r="165" spans="1:9" ht="180.6" customHeight="1" x14ac:dyDescent="0.25">
      <c r="A165" s="248">
        <v>10</v>
      </c>
      <c r="B165" s="249" t="s">
        <v>224</v>
      </c>
      <c r="C165" s="285"/>
      <c r="D165" s="285" t="s">
        <v>397</v>
      </c>
      <c r="E165" s="248" t="s">
        <v>207</v>
      </c>
      <c r="F165" s="252">
        <v>2</v>
      </c>
      <c r="G165" s="253">
        <v>2</v>
      </c>
      <c r="H165" s="254">
        <v>30.22</v>
      </c>
      <c r="I165" s="254">
        <v>60.44</v>
      </c>
    </row>
    <row r="166" spans="1:9" ht="258" customHeight="1" x14ac:dyDescent="0.25">
      <c r="A166" s="248">
        <v>11</v>
      </c>
      <c r="B166" s="249" t="s">
        <v>223</v>
      </c>
      <c r="C166" s="285"/>
      <c r="D166" s="285" t="s">
        <v>397</v>
      </c>
      <c r="E166" s="248" t="s">
        <v>207</v>
      </c>
      <c r="F166" s="252">
        <v>9</v>
      </c>
      <c r="G166" s="253">
        <v>9</v>
      </c>
      <c r="H166" s="254">
        <v>16.079999999999998</v>
      </c>
      <c r="I166" s="254">
        <v>144.71999999999997</v>
      </c>
    </row>
    <row r="167" spans="1:9" ht="158.1" customHeight="1" x14ac:dyDescent="0.25">
      <c r="A167" s="248">
        <v>12</v>
      </c>
      <c r="B167" s="249" t="s">
        <v>222</v>
      </c>
      <c r="C167" s="285"/>
      <c r="D167" s="285" t="s">
        <v>397</v>
      </c>
      <c r="E167" s="248" t="s">
        <v>207</v>
      </c>
      <c r="F167" s="252">
        <v>4</v>
      </c>
      <c r="G167" s="253">
        <v>4</v>
      </c>
      <c r="H167" s="254">
        <v>17.440000000000001</v>
      </c>
      <c r="I167" s="254">
        <v>69.760000000000005</v>
      </c>
    </row>
    <row r="168" spans="1:9" ht="182.45" customHeight="1" x14ac:dyDescent="0.25">
      <c r="A168" s="248">
        <v>13</v>
      </c>
      <c r="B168" s="249" t="s">
        <v>221</v>
      </c>
      <c r="C168" s="285"/>
      <c r="D168" s="285" t="s">
        <v>397</v>
      </c>
      <c r="E168" s="248" t="s">
        <v>207</v>
      </c>
      <c r="F168" s="252">
        <v>2</v>
      </c>
      <c r="G168" s="253">
        <v>2</v>
      </c>
      <c r="H168" s="254">
        <v>14.77</v>
      </c>
      <c r="I168" s="254">
        <v>29.54</v>
      </c>
    </row>
    <row r="169" spans="1:9" ht="201" customHeight="1" x14ac:dyDescent="0.25">
      <c r="A169" s="248">
        <v>14</v>
      </c>
      <c r="B169" s="249" t="s">
        <v>220</v>
      </c>
      <c r="C169" s="285"/>
      <c r="D169" s="285" t="s">
        <v>397</v>
      </c>
      <c r="E169" s="248" t="s">
        <v>207</v>
      </c>
      <c r="F169" s="252">
        <v>4</v>
      </c>
      <c r="G169" s="253">
        <v>4</v>
      </c>
      <c r="H169" s="254">
        <v>10.06</v>
      </c>
      <c r="I169" s="254">
        <v>40.24</v>
      </c>
    </row>
    <row r="170" spans="1:9" ht="150.94999999999999" customHeight="1" x14ac:dyDescent="0.25">
      <c r="A170" s="248">
        <v>15</v>
      </c>
      <c r="B170" s="249" t="s">
        <v>219</v>
      </c>
      <c r="C170" s="285"/>
      <c r="D170" s="285" t="s">
        <v>396</v>
      </c>
      <c r="E170" s="248" t="s">
        <v>209</v>
      </c>
      <c r="F170" s="252">
        <v>9</v>
      </c>
      <c r="G170" s="253">
        <v>18</v>
      </c>
      <c r="H170" s="254">
        <v>18.77</v>
      </c>
      <c r="I170" s="254">
        <v>337.86</v>
      </c>
    </row>
    <row r="171" spans="1:9" ht="235.5" customHeight="1" x14ac:dyDescent="0.25">
      <c r="A171" s="248">
        <v>16</v>
      </c>
      <c r="B171" s="249" t="s">
        <v>218</v>
      </c>
      <c r="C171" s="285"/>
      <c r="D171" s="285" t="s">
        <v>484</v>
      </c>
      <c r="E171" s="248" t="s">
        <v>209</v>
      </c>
      <c r="F171" s="252">
        <v>1</v>
      </c>
      <c r="G171" s="253">
        <v>12</v>
      </c>
      <c r="H171" s="254">
        <v>14.1</v>
      </c>
      <c r="I171" s="254">
        <v>169.2</v>
      </c>
    </row>
    <row r="172" spans="1:9" ht="201" customHeight="1" x14ac:dyDescent="0.25">
      <c r="A172" s="248">
        <v>17</v>
      </c>
      <c r="B172" s="249" t="s">
        <v>217</v>
      </c>
      <c r="C172" s="285"/>
      <c r="D172" s="285" t="s">
        <v>397</v>
      </c>
      <c r="E172" s="248" t="s">
        <v>209</v>
      </c>
      <c r="F172" s="252">
        <v>5</v>
      </c>
      <c r="G172" s="253">
        <v>5</v>
      </c>
      <c r="H172" s="254">
        <v>5.87</v>
      </c>
      <c r="I172" s="254">
        <v>29.35</v>
      </c>
    </row>
    <row r="173" spans="1:9" ht="188.1" customHeight="1" x14ac:dyDescent="0.25">
      <c r="A173" s="248">
        <v>18</v>
      </c>
      <c r="B173" s="249" t="s">
        <v>216</v>
      </c>
      <c r="C173" s="285"/>
      <c r="D173" s="285" t="s">
        <v>397</v>
      </c>
      <c r="E173" s="248" t="s">
        <v>209</v>
      </c>
      <c r="F173" s="252">
        <v>5</v>
      </c>
      <c r="G173" s="253">
        <v>5</v>
      </c>
      <c r="H173" s="254">
        <v>11.93</v>
      </c>
      <c r="I173" s="254">
        <v>59.65</v>
      </c>
    </row>
    <row r="174" spans="1:9" ht="263.45" customHeight="1" x14ac:dyDescent="0.25">
      <c r="A174" s="248">
        <v>19</v>
      </c>
      <c r="B174" s="249" t="s">
        <v>215</v>
      </c>
      <c r="C174" s="285"/>
      <c r="D174" s="285" t="s">
        <v>397</v>
      </c>
      <c r="E174" s="248" t="s">
        <v>209</v>
      </c>
      <c r="F174" s="252">
        <v>5</v>
      </c>
      <c r="G174" s="253">
        <v>5</v>
      </c>
      <c r="H174" s="254">
        <v>26.3</v>
      </c>
      <c r="I174" s="254">
        <v>131.5</v>
      </c>
    </row>
    <row r="175" spans="1:9" ht="140.25" x14ac:dyDescent="0.25">
      <c r="A175" s="248">
        <v>20</v>
      </c>
      <c r="B175" s="249" t="s">
        <v>214</v>
      </c>
      <c r="C175" s="285"/>
      <c r="D175" s="285" t="s">
        <v>397</v>
      </c>
      <c r="E175" s="248" t="s">
        <v>209</v>
      </c>
      <c r="F175" s="252">
        <v>10</v>
      </c>
      <c r="G175" s="253">
        <v>10</v>
      </c>
      <c r="H175" s="254">
        <v>34.119999999999997</v>
      </c>
      <c r="I175" s="254">
        <v>341.2</v>
      </c>
    </row>
    <row r="176" spans="1:9" ht="211.5" customHeight="1" x14ac:dyDescent="0.25">
      <c r="A176" s="248">
        <v>21</v>
      </c>
      <c r="B176" s="249" t="s">
        <v>213</v>
      </c>
      <c r="C176" s="285"/>
      <c r="D176" s="285" t="s">
        <v>396</v>
      </c>
      <c r="E176" s="248" t="s">
        <v>209</v>
      </c>
      <c r="F176" s="252">
        <v>50</v>
      </c>
      <c r="G176" s="253">
        <v>100</v>
      </c>
      <c r="H176" s="254">
        <v>2.08</v>
      </c>
      <c r="I176" s="254">
        <v>208</v>
      </c>
    </row>
    <row r="177" spans="1:9" ht="227.45" customHeight="1" x14ac:dyDescent="0.25">
      <c r="A177" s="248">
        <v>22</v>
      </c>
      <c r="B177" s="249" t="s">
        <v>212</v>
      </c>
      <c r="C177" s="285"/>
      <c r="D177" s="285" t="s">
        <v>397</v>
      </c>
      <c r="E177" s="248" t="s">
        <v>209</v>
      </c>
      <c r="F177" s="252">
        <v>10</v>
      </c>
      <c r="G177" s="253">
        <v>10</v>
      </c>
      <c r="H177" s="254">
        <v>17.53</v>
      </c>
      <c r="I177" s="254">
        <v>175.3</v>
      </c>
    </row>
    <row r="178" spans="1:9" ht="327.60000000000002" customHeight="1" x14ac:dyDescent="0.25">
      <c r="A178" s="248">
        <v>23</v>
      </c>
      <c r="B178" s="249" t="s">
        <v>211</v>
      </c>
      <c r="C178" s="285"/>
      <c r="D178" s="285" t="s">
        <v>484</v>
      </c>
      <c r="E178" s="248" t="s">
        <v>209</v>
      </c>
      <c r="F178" s="252">
        <v>1</v>
      </c>
      <c r="G178" s="253">
        <v>12</v>
      </c>
      <c r="H178" s="254">
        <v>2.64</v>
      </c>
      <c r="I178" s="254">
        <v>31.68</v>
      </c>
    </row>
    <row r="179" spans="1:9" ht="396.6" customHeight="1" x14ac:dyDescent="0.25">
      <c r="A179" s="248">
        <v>24</v>
      </c>
      <c r="B179" s="249" t="s">
        <v>210</v>
      </c>
      <c r="C179" s="285"/>
      <c r="D179" s="285" t="s">
        <v>484</v>
      </c>
      <c r="E179" s="248" t="s">
        <v>209</v>
      </c>
      <c r="F179" s="252">
        <v>1</v>
      </c>
      <c r="G179" s="253">
        <v>12</v>
      </c>
      <c r="H179" s="254">
        <v>4.2300000000000004</v>
      </c>
      <c r="I179" s="254">
        <v>50.760000000000005</v>
      </c>
    </row>
    <row r="180" spans="1:9" ht="234.6" customHeight="1" x14ac:dyDescent="0.25">
      <c r="A180" s="248">
        <v>25</v>
      </c>
      <c r="B180" s="249" t="s">
        <v>208</v>
      </c>
      <c r="C180" s="285"/>
      <c r="D180" s="285" t="s">
        <v>397</v>
      </c>
      <c r="E180" s="248" t="s">
        <v>209</v>
      </c>
      <c r="F180" s="252">
        <v>4</v>
      </c>
      <c r="G180" s="253">
        <v>4</v>
      </c>
      <c r="H180" s="254">
        <v>90.11</v>
      </c>
      <c r="I180" s="254">
        <v>360.44</v>
      </c>
    </row>
    <row r="181" spans="1:9" ht="150.94999999999999" customHeight="1" x14ac:dyDescent="0.25">
      <c r="A181" s="248">
        <v>26</v>
      </c>
      <c r="B181" s="249" t="s">
        <v>390</v>
      </c>
      <c r="C181" s="285"/>
      <c r="D181" s="285" t="s">
        <v>397</v>
      </c>
      <c r="E181" s="248" t="s">
        <v>374</v>
      </c>
      <c r="F181" s="252">
        <v>5</v>
      </c>
      <c r="G181" s="253">
        <v>5</v>
      </c>
      <c r="H181" s="254">
        <v>11.74</v>
      </c>
      <c r="I181" s="254">
        <v>58.7</v>
      </c>
    </row>
    <row r="182" spans="1:9" ht="155.44999999999999" customHeight="1" x14ac:dyDescent="0.25">
      <c r="A182" s="248">
        <v>27</v>
      </c>
      <c r="B182" s="249" t="s">
        <v>391</v>
      </c>
      <c r="C182" s="285"/>
      <c r="D182" s="285" t="s">
        <v>397</v>
      </c>
      <c r="E182" s="248" t="s">
        <v>374</v>
      </c>
      <c r="F182" s="252">
        <v>5</v>
      </c>
      <c r="G182" s="253">
        <v>5</v>
      </c>
      <c r="H182" s="254">
        <v>11.05</v>
      </c>
      <c r="I182" s="254">
        <v>55.25</v>
      </c>
    </row>
    <row r="183" spans="1:9" ht="25.5" x14ac:dyDescent="0.25">
      <c r="A183" s="286"/>
      <c r="B183" s="287"/>
      <c r="C183" s="288"/>
      <c r="D183" s="288"/>
      <c r="E183" s="288"/>
      <c r="F183" s="289"/>
      <c r="G183" s="290" t="s">
        <v>385</v>
      </c>
      <c r="H183" s="291"/>
      <c r="I183" s="291">
        <f>SUM(I156:I182)</f>
        <v>7002.47</v>
      </c>
    </row>
    <row r="184" spans="1:9" ht="15.75" thickBot="1" x14ac:dyDescent="0.3">
      <c r="A184" s="292"/>
      <c r="B184" s="293"/>
      <c r="C184" s="294"/>
      <c r="D184" s="294"/>
      <c r="E184" s="294"/>
      <c r="F184" s="295"/>
      <c r="G184" s="267"/>
      <c r="H184" s="268"/>
      <c r="I184" s="268"/>
    </row>
    <row r="185" spans="1:9" ht="15.75" thickBot="1" x14ac:dyDescent="0.3">
      <c r="A185" s="296"/>
      <c r="B185" s="297"/>
      <c r="C185" s="298"/>
      <c r="D185" s="298"/>
      <c r="E185" s="298"/>
      <c r="F185" s="352" t="s">
        <v>494</v>
      </c>
      <c r="G185" s="352"/>
      <c r="H185" s="352"/>
      <c r="I185" s="299">
        <f>SUM(I183,I151,I134)</f>
        <v>169015.78999999995</v>
      </c>
    </row>
  </sheetData>
  <mergeCells count="21">
    <mergeCell ref="A153:I153"/>
    <mergeCell ref="A154:I154"/>
    <mergeCell ref="F185:H185"/>
    <mergeCell ref="C13:D13"/>
    <mergeCell ref="E13:F13"/>
    <mergeCell ref="A15:I15"/>
    <mergeCell ref="A16:I16"/>
    <mergeCell ref="A136:I136"/>
    <mergeCell ref="A137:I137"/>
    <mergeCell ref="C10:D10"/>
    <mergeCell ref="E10:F10"/>
    <mergeCell ref="C11:D11"/>
    <mergeCell ref="E11:F11"/>
    <mergeCell ref="C12:D12"/>
    <mergeCell ref="E12:F12"/>
    <mergeCell ref="B1:C1"/>
    <mergeCell ref="A5:I5"/>
    <mergeCell ref="A6:I6"/>
    <mergeCell ref="A7:I7"/>
    <mergeCell ref="C9:D9"/>
    <mergeCell ref="E9:F9"/>
  </mergeCells>
  <pageMargins left="0.511811024" right="0.511811024" top="0.78740157499999996" bottom="0.78740157499999996" header="0.31496062000000002" footer="0.31496062000000002"/>
  <pageSetup paperSize="9" scale="83"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39767-A987-452A-BC48-C31072C100FA}">
  <sheetPr>
    <tabColor theme="5" tint="0.59999389629810485"/>
    <pageSetUpPr fitToPage="1"/>
  </sheetPr>
  <dimension ref="A1:G13"/>
  <sheetViews>
    <sheetView workbookViewId="0">
      <selection activeCell="J6" sqref="J6"/>
    </sheetView>
  </sheetViews>
  <sheetFormatPr defaultColWidth="8.7109375" defaultRowHeight="15" x14ac:dyDescent="0.25"/>
  <cols>
    <col min="1" max="1" width="5.42578125" style="89" customWidth="1"/>
    <col min="2" max="2" width="29.5703125" style="89" customWidth="1"/>
    <col min="3" max="4" width="10" style="89" customWidth="1"/>
    <col min="5" max="5" width="12.5703125" style="89" customWidth="1"/>
    <col min="6" max="6" width="13.7109375" style="89" customWidth="1"/>
    <col min="7" max="7" width="12.140625" style="89" bestFit="1" customWidth="1"/>
    <col min="8" max="16384" width="8.7109375" style="89"/>
  </cols>
  <sheetData>
    <row r="1" spans="1:7" s="90" customFormat="1" ht="15.75" x14ac:dyDescent="0.25">
      <c r="A1" s="357" t="s">
        <v>392</v>
      </c>
      <c r="B1" s="357"/>
      <c r="C1" s="357"/>
      <c r="D1" s="357"/>
      <c r="E1" s="357"/>
      <c r="F1" s="357"/>
      <c r="G1" s="357"/>
    </row>
    <row r="2" spans="1:7" s="90" customFormat="1" ht="15.75" x14ac:dyDescent="0.25">
      <c r="A2" s="358" t="s">
        <v>393</v>
      </c>
      <c r="B2" s="358"/>
      <c r="C2" s="358"/>
      <c r="D2" s="358"/>
      <c r="E2" s="358"/>
      <c r="F2" s="358"/>
      <c r="G2" s="358"/>
    </row>
    <row r="3" spans="1:7" ht="38.25" customHeight="1" x14ac:dyDescent="0.25">
      <c r="A3" s="91" t="s">
        <v>394</v>
      </c>
      <c r="B3" s="91" t="s">
        <v>395</v>
      </c>
      <c r="C3" s="91" t="s">
        <v>396</v>
      </c>
      <c r="D3" s="91" t="s">
        <v>397</v>
      </c>
      <c r="E3" s="92" t="s">
        <v>398</v>
      </c>
      <c r="F3" s="92" t="s">
        <v>385</v>
      </c>
      <c r="G3" s="92" t="s">
        <v>399</v>
      </c>
    </row>
    <row r="4" spans="1:7" ht="38.450000000000003" customHeight="1" x14ac:dyDescent="0.25">
      <c r="A4" s="93">
        <v>1</v>
      </c>
      <c r="B4" s="94" t="s">
        <v>400</v>
      </c>
      <c r="C4" s="93">
        <v>20</v>
      </c>
      <c r="D4" s="93">
        <v>40</v>
      </c>
      <c r="E4" s="95">
        <v>74.004999999999995</v>
      </c>
      <c r="F4" s="96">
        <f>E4*D4</f>
        <v>2960.2</v>
      </c>
      <c r="G4" s="95">
        <f>E4*D4</f>
        <v>2960.2</v>
      </c>
    </row>
    <row r="5" spans="1:7" ht="30" x14ac:dyDescent="0.25">
      <c r="A5" s="93">
        <v>2</v>
      </c>
      <c r="B5" s="94" t="s">
        <v>401</v>
      </c>
      <c r="C5" s="93">
        <v>20</v>
      </c>
      <c r="D5" s="93">
        <v>40</v>
      </c>
      <c r="E5" s="95">
        <v>75.63</v>
      </c>
      <c r="F5" s="96">
        <f t="shared" ref="F5:F10" si="0">E5*D5</f>
        <v>3025.2</v>
      </c>
      <c r="G5" s="95">
        <f t="shared" ref="G5:G10" si="1">E5*D5</f>
        <v>3025.2</v>
      </c>
    </row>
    <row r="6" spans="1:7" ht="30" x14ac:dyDescent="0.25">
      <c r="A6" s="93">
        <v>3</v>
      </c>
      <c r="B6" s="94" t="s">
        <v>402</v>
      </c>
      <c r="C6" s="93">
        <v>20</v>
      </c>
      <c r="D6" s="93">
        <v>40</v>
      </c>
      <c r="E6" s="95">
        <v>19.5</v>
      </c>
      <c r="F6" s="96">
        <f t="shared" si="0"/>
        <v>780</v>
      </c>
      <c r="G6" s="95">
        <f t="shared" si="1"/>
        <v>780</v>
      </c>
    </row>
    <row r="7" spans="1:7" ht="30" x14ac:dyDescent="0.25">
      <c r="A7" s="93">
        <v>4</v>
      </c>
      <c r="B7" s="94" t="s">
        <v>403</v>
      </c>
      <c r="C7" s="93">
        <v>0</v>
      </c>
      <c r="D7" s="93">
        <v>10</v>
      </c>
      <c r="E7" s="95">
        <v>6.2</v>
      </c>
      <c r="F7" s="96">
        <f t="shared" si="0"/>
        <v>62</v>
      </c>
      <c r="G7" s="95">
        <f t="shared" si="1"/>
        <v>62</v>
      </c>
    </row>
    <row r="8" spans="1:7" ht="75" x14ac:dyDescent="0.25">
      <c r="A8" s="93">
        <v>5</v>
      </c>
      <c r="B8" s="94" t="s">
        <v>404</v>
      </c>
      <c r="C8" s="93">
        <v>10</v>
      </c>
      <c r="D8" s="93">
        <v>20</v>
      </c>
      <c r="E8" s="95">
        <v>75.495000000000005</v>
      </c>
      <c r="F8" s="96">
        <f t="shared" si="0"/>
        <v>1509.9</v>
      </c>
      <c r="G8" s="95">
        <f t="shared" si="1"/>
        <v>1509.9</v>
      </c>
    </row>
    <row r="9" spans="1:7" x14ac:dyDescent="0.25">
      <c r="A9" s="93">
        <v>6</v>
      </c>
      <c r="B9" s="94" t="s">
        <v>405</v>
      </c>
      <c r="C9" s="93">
        <v>20</v>
      </c>
      <c r="D9" s="93">
        <v>40</v>
      </c>
      <c r="E9" s="97">
        <v>7.24</v>
      </c>
      <c r="F9" s="96">
        <f t="shared" si="0"/>
        <v>289.60000000000002</v>
      </c>
      <c r="G9" s="95">
        <f t="shared" si="1"/>
        <v>289.60000000000002</v>
      </c>
    </row>
    <row r="10" spans="1:7" ht="60" x14ac:dyDescent="0.25">
      <c r="A10" s="93">
        <v>7</v>
      </c>
      <c r="B10" s="94" t="s">
        <v>406</v>
      </c>
      <c r="C10" s="93">
        <v>0</v>
      </c>
      <c r="D10" s="93">
        <v>20</v>
      </c>
      <c r="E10" s="95">
        <v>82</v>
      </c>
      <c r="F10" s="96">
        <f t="shared" si="0"/>
        <v>1640</v>
      </c>
      <c r="G10" s="95">
        <f t="shared" si="1"/>
        <v>1640</v>
      </c>
    </row>
    <row r="11" spans="1:7" x14ac:dyDescent="0.25">
      <c r="C11" s="359" t="s">
        <v>407</v>
      </c>
      <c r="D11" s="359"/>
      <c r="E11" s="359"/>
      <c r="F11" s="98">
        <f>SUM(F4:F10)</f>
        <v>10266.9</v>
      </c>
    </row>
    <row r="12" spans="1:7" x14ac:dyDescent="0.25">
      <c r="C12" s="360" t="s">
        <v>408</v>
      </c>
      <c r="D12" s="360"/>
      <c r="E12" s="360"/>
      <c r="F12" s="98">
        <f>F11/12</f>
        <v>855.57499999999993</v>
      </c>
    </row>
    <row r="13" spans="1:7" x14ac:dyDescent="0.25">
      <c r="C13" s="361" t="s">
        <v>409</v>
      </c>
      <c r="D13" s="361"/>
      <c r="E13" s="361"/>
      <c r="F13" s="99">
        <f>F12/10</f>
        <v>85.55749999999999</v>
      </c>
    </row>
  </sheetData>
  <mergeCells count="5">
    <mergeCell ref="A1:G1"/>
    <mergeCell ref="A2:G2"/>
    <mergeCell ref="C11:E11"/>
    <mergeCell ref="C12:E12"/>
    <mergeCell ref="C13:E13"/>
  </mergeCells>
  <pageMargins left="0.511811024" right="0.511811024" top="0.78740157499999996" bottom="0.78740157499999996" header="0.31496062000000002" footer="0.31496062000000002"/>
  <pageSetup paperSize="9" scale="9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CE6F1-B834-47CF-A74E-4516453A38C4}">
  <sheetPr>
    <tabColor theme="5" tint="0.59999389629810485"/>
  </sheetPr>
  <dimension ref="A1:K19"/>
  <sheetViews>
    <sheetView zoomScale="70" zoomScaleNormal="70" workbookViewId="0">
      <selection activeCell="E4" sqref="E4"/>
    </sheetView>
  </sheetViews>
  <sheetFormatPr defaultColWidth="8.7109375" defaultRowHeight="12" x14ac:dyDescent="0.2"/>
  <cols>
    <col min="1" max="1" width="12.42578125" style="106" customWidth="1"/>
    <col min="2" max="2" width="48.85546875" style="106" customWidth="1"/>
    <col min="3" max="3" width="8.7109375" style="106"/>
    <col min="4" max="4" width="12.42578125" style="106" customWidth="1"/>
    <col min="5" max="5" width="24.7109375" style="106" customWidth="1"/>
    <col min="6" max="6" width="24.42578125" style="106" customWidth="1"/>
    <col min="7" max="7" width="8.7109375" style="106"/>
    <col min="8" max="8" width="12.42578125" style="106" customWidth="1"/>
    <col min="9" max="9" width="23.85546875" style="106" customWidth="1"/>
    <col min="10" max="10" width="11.5703125" style="106" customWidth="1"/>
    <col min="11" max="11" width="7.5703125" style="106" bestFit="1" customWidth="1"/>
    <col min="12" max="12" width="8.7109375" style="106"/>
    <col min="13" max="15" width="8.7109375" style="106" customWidth="1"/>
    <col min="16" max="16384" width="8.7109375" style="106"/>
  </cols>
  <sheetData>
    <row r="1" spans="1:11" x14ac:dyDescent="0.2">
      <c r="A1" s="111" t="s">
        <v>414</v>
      </c>
      <c r="B1" s="111" t="s">
        <v>415</v>
      </c>
    </row>
    <row r="2" spans="1:11" ht="84" x14ac:dyDescent="0.2">
      <c r="A2" s="107" t="s">
        <v>417</v>
      </c>
      <c r="B2" s="110" t="s">
        <v>416</v>
      </c>
    </row>
    <row r="3" spans="1:11" ht="84" x14ac:dyDescent="0.2">
      <c r="A3" s="107" t="s">
        <v>418</v>
      </c>
      <c r="B3" s="110" t="s">
        <v>416</v>
      </c>
    </row>
    <row r="4" spans="1:11" ht="168" x14ac:dyDescent="0.2">
      <c r="A4" s="107" t="s">
        <v>419</v>
      </c>
      <c r="B4" s="110" t="s">
        <v>420</v>
      </c>
    </row>
    <row r="6" spans="1:11" x14ac:dyDescent="0.2">
      <c r="A6" s="106" t="s">
        <v>421</v>
      </c>
    </row>
    <row r="7" spans="1:11" x14ac:dyDescent="0.2">
      <c r="A7" s="111" t="s">
        <v>414</v>
      </c>
      <c r="B7" s="111" t="s">
        <v>415</v>
      </c>
    </row>
    <row r="8" spans="1:11" ht="84" x14ac:dyDescent="0.2">
      <c r="A8" s="107" t="s">
        <v>422</v>
      </c>
      <c r="B8" s="110" t="s">
        <v>424</v>
      </c>
    </row>
    <row r="9" spans="1:11" ht="72" x14ac:dyDescent="0.2">
      <c r="A9" s="109" t="s">
        <v>423</v>
      </c>
      <c r="B9" s="110" t="s">
        <v>425</v>
      </c>
    </row>
    <row r="10" spans="1:11" x14ac:dyDescent="0.2">
      <c r="D10" s="111" t="s">
        <v>426</v>
      </c>
      <c r="E10" s="111" t="s">
        <v>427</v>
      </c>
      <c r="F10" s="111" t="s">
        <v>428</v>
      </c>
    </row>
    <row r="11" spans="1:11" x14ac:dyDescent="0.2">
      <c r="D11" s="109" t="s">
        <v>423</v>
      </c>
      <c r="E11" s="109">
        <v>9</v>
      </c>
      <c r="F11" s="109">
        <v>1</v>
      </c>
    </row>
    <row r="16" spans="1:11" ht="36" x14ac:dyDescent="0.2">
      <c r="H16" s="115" t="s">
        <v>429</v>
      </c>
      <c r="I16" s="111" t="s">
        <v>430</v>
      </c>
      <c r="J16" s="111" t="s">
        <v>431</v>
      </c>
      <c r="K16" s="111" t="s">
        <v>432</v>
      </c>
    </row>
    <row r="17" spans="8:11" ht="72" x14ac:dyDescent="0.2">
      <c r="H17" s="362" t="s">
        <v>347</v>
      </c>
      <c r="I17" s="112" t="s">
        <v>436</v>
      </c>
      <c r="J17" s="365" t="s">
        <v>434</v>
      </c>
      <c r="K17" s="365" t="s">
        <v>435</v>
      </c>
    </row>
    <row r="18" spans="8:11" x14ac:dyDescent="0.2">
      <c r="H18" s="363"/>
      <c r="I18" s="113" t="s">
        <v>433</v>
      </c>
      <c r="J18" s="366"/>
      <c r="K18" s="366"/>
    </row>
    <row r="19" spans="8:11" ht="96" x14ac:dyDescent="0.2">
      <c r="H19" s="364"/>
      <c r="I19" s="114" t="s">
        <v>437</v>
      </c>
      <c r="J19" s="367"/>
      <c r="K19" s="367"/>
    </row>
  </sheetData>
  <mergeCells count="3">
    <mergeCell ref="H17:H19"/>
    <mergeCell ref="J17:J19"/>
    <mergeCell ref="K17:K19"/>
  </mergeCell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AEA8AEF289EC469568070342C0A21E" ma:contentTypeVersion="16" ma:contentTypeDescription="Crie um novo documento." ma:contentTypeScope="" ma:versionID="81d93d47f6840e6770793674ab3ba32c">
  <xsd:schema xmlns:xsd="http://www.w3.org/2001/XMLSchema" xmlns:xs="http://www.w3.org/2001/XMLSchema" xmlns:p="http://schemas.microsoft.com/office/2006/metadata/properties" xmlns:ns2="93f79b37-4887-4a39-80d2-0936e4ef5ed3" xmlns:ns3="9ac3dc5f-7cd1-44f1-ad3e-c852f362b0cb" targetNamespace="http://schemas.microsoft.com/office/2006/metadata/properties" ma:root="true" ma:fieldsID="d98ad6676d05b6d78d6a1c27e1ff481e" ns2:_="" ns3:_="">
    <xsd:import namespace="93f79b37-4887-4a39-80d2-0936e4ef5ed3"/>
    <xsd:import namespace="9ac3dc5f-7cd1-44f1-ad3e-c852f362b0c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f79b37-4887-4a39-80d2-0936e4ef5e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Marcações de imagem" ma:readOnly="false" ma:fieldId="{5cf76f15-5ced-4ddc-b409-7134ff3c332f}" ma:taxonomyMulti="true" ma:sspId="abe3d53f-864c-4c30-b421-a8cfe89dac5d"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c3dc5f-7cd1-44f1-ad3e-c852f362b0cb"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0" nillable="true" ma:displayName="Taxonomy Catch All Column" ma:hidden="true" ma:list="{df611120-b0bb-44a4-9bb0-a4d3017e27ad}" ma:internalName="TaxCatchAll" ma:showField="CatchAllData" ma:web="9ac3dc5f-7cd1-44f1-ad3e-c852f362b0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400154-549E-4D66-8EFC-843BC8E58F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f79b37-4887-4a39-80d2-0936e4ef5ed3"/>
    <ds:schemaRef ds:uri="9ac3dc5f-7cd1-44f1-ad3e-c852f362b0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02D566-B00F-4560-B285-28BF0E75FD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3</vt:i4>
      </vt:variant>
    </vt:vector>
  </HeadingPairs>
  <TitlesOfParts>
    <vt:vector size="14" baseType="lpstr">
      <vt:lpstr>Planilha1</vt:lpstr>
      <vt:lpstr>Novo Simulador</vt:lpstr>
      <vt:lpstr>ASG</vt:lpstr>
      <vt:lpstr>Encarregado</vt:lpstr>
      <vt:lpstr>ASG-INSAL</vt:lpstr>
      <vt:lpstr>SUPERVISOR</vt:lpstr>
      <vt:lpstr>Insumos v2</vt:lpstr>
      <vt:lpstr>Fardamento</vt:lpstr>
      <vt:lpstr>ETP</vt:lpstr>
      <vt:lpstr>ETP TR V2</vt:lpstr>
      <vt:lpstr>ETP TR ñ usado</vt:lpstr>
      <vt:lpstr>ASG!Area_de_impressao</vt:lpstr>
      <vt:lpstr>'ASG-INSAL'!Area_de_impressao</vt:lpstr>
      <vt:lpstr>'Novo Simulador'!Area_de_impressao</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CTI</dc:creator>
  <cp:lastModifiedBy>Tatiana Millions Rivasplata</cp:lastModifiedBy>
  <cp:lastPrinted>2024-11-17T14:07:22Z</cp:lastPrinted>
  <dcterms:created xsi:type="dcterms:W3CDTF">2017-06-12T19:52:20Z</dcterms:created>
  <dcterms:modified xsi:type="dcterms:W3CDTF">2024-12-16T17:31:35Z</dcterms:modified>
</cp:coreProperties>
</file>