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d6ca910682f21321/Documentos/DILIC 2024/PROCESSOS/OUTUBRO/Processo 23035.002610.2024-21 - contratação de serviços de Vigilância Armada para o IFRN Campus Currais Novos/PUBLICAÇÃO/"/>
    </mc:Choice>
  </mc:AlternateContent>
  <xr:revisionPtr revIDLastSave="0" documentId="8_{B5CA762D-B444-4546-9936-5BAF145630AA}" xr6:coauthVersionLast="47" xr6:coauthVersionMax="47" xr10:uidLastSave="{00000000-0000-0000-0000-000000000000}"/>
  <bookViews>
    <workbookView xWindow="1515" yWindow="1515" windowWidth="19140" windowHeight="12630" tabRatio="934" activeTab="2" xr2:uid="{00000000-000D-0000-FFFF-FFFF00000000}"/>
  </bookViews>
  <sheets>
    <sheet name="Resumo" sheetId="9" r:id="rId1"/>
    <sheet name="12 x 36 noturno" sheetId="4" r:id="rId2"/>
    <sheet name="Diurno finais de sem e fer" sheetId="8" r:id="rId3"/>
    <sheet name="Quantidade de Serventes" sheetId="7" state="hidden" r:id="rId4"/>
    <sheet name="Memórias de Cálculo" sheetId="6" r:id="rId5"/>
    <sheet name="Pesquisa de preços" sheetId="10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5" i="6" l="1"/>
  <c r="G26" i="6"/>
  <c r="F26" i="6" s="1"/>
  <c r="D35" i="10"/>
  <c r="E34" i="10"/>
  <c r="D34" i="10"/>
  <c r="E33" i="10"/>
  <c r="E36" i="10" s="1"/>
  <c r="E32" i="10"/>
  <c r="D32" i="10"/>
  <c r="G26" i="10"/>
  <c r="F26" i="10"/>
  <c r="G25" i="10"/>
  <c r="F25" i="10" s="1"/>
  <c r="G24" i="10"/>
  <c r="F24" i="10"/>
  <c r="G23" i="10"/>
  <c r="F23" i="10" s="1"/>
  <c r="G22" i="10"/>
  <c r="F22" i="10"/>
  <c r="G21" i="10"/>
  <c r="G27" i="10" s="1"/>
  <c r="D12" i="10"/>
  <c r="D11" i="10"/>
  <c r="D10" i="10"/>
  <c r="D9" i="10"/>
  <c r="D8" i="10"/>
  <c r="D7" i="10"/>
  <c r="D6" i="10"/>
  <c r="D5" i="10"/>
  <c r="D4" i="10"/>
  <c r="D13" i="10" s="1"/>
  <c r="D15" i="10" s="1"/>
  <c r="I50" i="8"/>
  <c r="I23" i="8"/>
  <c r="F21" i="10" l="1"/>
  <c r="F27" i="10" s="1"/>
  <c r="D33" i="10"/>
  <c r="D36" i="10" s="1"/>
  <c r="I50" i="4"/>
  <c r="I23" i="4"/>
  <c r="D35" i="6"/>
  <c r="E34" i="6"/>
  <c r="D34" i="6" s="1"/>
  <c r="E33" i="6"/>
  <c r="D33" i="6" s="1"/>
  <c r="E32" i="6"/>
  <c r="G25" i="6"/>
  <c r="F25" i="6" s="1"/>
  <c r="G24" i="6"/>
  <c r="F24" i="6"/>
  <c r="G23" i="6"/>
  <c r="F23" i="6" s="1"/>
  <c r="G22" i="6"/>
  <c r="F22" i="6" s="1"/>
  <c r="G21" i="6"/>
  <c r="F21" i="6" s="1"/>
  <c r="G20" i="6"/>
  <c r="F20" i="6" l="1"/>
  <c r="F27" i="6" s="1"/>
  <c r="G27" i="6"/>
  <c r="D40" i="10"/>
  <c r="E36" i="6"/>
  <c r="D32" i="6"/>
  <c r="D36" i="6" s="1"/>
  <c r="D40" i="6" s="1"/>
  <c r="I97" i="8" l="1"/>
  <c r="I97" i="4"/>
  <c r="I55" i="8"/>
  <c r="K28" i="4" l="1"/>
  <c r="K131" i="8"/>
  <c r="I146" i="8" l="1"/>
  <c r="I140" i="8"/>
  <c r="B129" i="8"/>
  <c r="B127" i="8"/>
  <c r="B126" i="8"/>
  <c r="B125" i="8"/>
  <c r="B124" i="8"/>
  <c r="B123" i="8"/>
  <c r="H112" i="8"/>
  <c r="H86" i="8"/>
  <c r="H82" i="8"/>
  <c r="I61" i="8"/>
  <c r="H46" i="8"/>
  <c r="H70" i="8" s="1"/>
  <c r="H72" i="8" s="1"/>
  <c r="H35" i="8"/>
  <c r="I25" i="8"/>
  <c r="I24" i="8"/>
  <c r="I29" i="8" l="1"/>
  <c r="D11" i="6"/>
  <c r="D10" i="6"/>
  <c r="D9" i="6"/>
  <c r="D8" i="6"/>
  <c r="I34" i="8" l="1"/>
  <c r="I85" i="8"/>
  <c r="I86" i="8" s="1"/>
  <c r="I91" i="8" s="1"/>
  <c r="I33" i="8"/>
  <c r="I123" i="8"/>
  <c r="I35" i="8" l="1"/>
  <c r="K36" i="8"/>
  <c r="I59" i="8" l="1"/>
  <c r="I67" i="8"/>
  <c r="I70" i="8"/>
  <c r="I68" i="8"/>
  <c r="I71" i="8"/>
  <c r="I42" i="8"/>
  <c r="I38" i="8"/>
  <c r="I40" i="8"/>
  <c r="I43" i="8"/>
  <c r="I39" i="8"/>
  <c r="I45" i="8"/>
  <c r="I66" i="8" s="1"/>
  <c r="I41" i="8"/>
  <c r="I44" i="8"/>
  <c r="I46" i="8" l="1"/>
  <c r="I60" i="8" s="1"/>
  <c r="I62" i="8" s="1"/>
  <c r="I69" i="8" s="1"/>
  <c r="I72" i="8" s="1"/>
  <c r="I125" i="8" s="1"/>
  <c r="I24" i="4"/>
  <c r="I26" i="4" s="1"/>
  <c r="I85" i="4" l="1"/>
  <c r="K26" i="4"/>
  <c r="K27" i="4"/>
  <c r="I124" i="8"/>
  <c r="K74" i="8"/>
  <c r="D7" i="6"/>
  <c r="D6" i="6"/>
  <c r="D5" i="6"/>
  <c r="D4" i="6"/>
  <c r="D3" i="6"/>
  <c r="B4" i="7"/>
  <c r="D3" i="7"/>
  <c r="D2" i="7"/>
  <c r="I146" i="4"/>
  <c r="I140" i="4"/>
  <c r="B129" i="4"/>
  <c r="B127" i="4"/>
  <c r="B126" i="4"/>
  <c r="B125" i="4"/>
  <c r="B124" i="4"/>
  <c r="B123" i="4"/>
  <c r="H112" i="4"/>
  <c r="H86" i="4"/>
  <c r="H82" i="4"/>
  <c r="H46" i="4"/>
  <c r="H35" i="4"/>
  <c r="I25" i="4"/>
  <c r="M28" i="4" l="1"/>
  <c r="L28" i="4"/>
  <c r="I78" i="8"/>
  <c r="I76" i="8"/>
  <c r="I81" i="8"/>
  <c r="I77" i="8"/>
  <c r="I80" i="8"/>
  <c r="I79" i="8"/>
  <c r="D12" i="6"/>
  <c r="D14" i="6" s="1"/>
  <c r="E4" i="7"/>
  <c r="H70" i="4"/>
  <c r="H72" i="4" s="1"/>
  <c r="I55" i="4"/>
  <c r="I61" i="4" s="1"/>
  <c r="I82" i="8" l="1"/>
  <c r="I90" i="8" s="1"/>
  <c r="I92" i="8" s="1"/>
  <c r="I126" i="8" s="1"/>
  <c r="I96" i="4" l="1"/>
  <c r="I96" i="8"/>
  <c r="I100" i="8" s="1"/>
  <c r="I127" i="8" s="1"/>
  <c r="I128" i="8" s="1"/>
  <c r="I104" i="8" s="1"/>
  <c r="I105" i="8" l="1"/>
  <c r="I115" i="8" s="1"/>
  <c r="I117" i="8" s="1"/>
  <c r="I100" i="4"/>
  <c r="I127" i="4" s="1"/>
  <c r="I107" i="8" l="1"/>
  <c r="I145" i="8" s="1"/>
  <c r="I148" i="8" s="1"/>
  <c r="I119" i="8"/>
  <c r="I109" i="8"/>
  <c r="I108" i="8"/>
  <c r="I110" i="8" l="1"/>
  <c r="I129" i="8" s="1"/>
  <c r="I130" i="8" s="1"/>
  <c r="I131" i="8" l="1"/>
  <c r="D153" i="8" s="1"/>
  <c r="E3" i="9" s="1"/>
  <c r="G3" i="9" s="1"/>
  <c r="O131" i="8"/>
  <c r="L131" i="8"/>
  <c r="B160" i="8"/>
  <c r="I147" i="8"/>
  <c r="I29" i="4"/>
  <c r="I34" i="4" l="1"/>
  <c r="I33" i="4"/>
  <c r="I35" i="4" s="1"/>
  <c r="I59" i="4" s="1"/>
  <c r="I86" i="4"/>
  <c r="I91" i="4" s="1"/>
  <c r="I123" i="4"/>
  <c r="I67" i="4" l="1"/>
  <c r="I70" i="4"/>
  <c r="I71" i="4"/>
  <c r="I68" i="4"/>
  <c r="K36" i="4"/>
  <c r="I40" i="4" l="1"/>
  <c r="I38" i="4"/>
  <c r="I39" i="4"/>
  <c r="I44" i="4"/>
  <c r="I43" i="4"/>
  <c r="I42" i="4"/>
  <c r="I41" i="4"/>
  <c r="I45" i="4"/>
  <c r="I66" i="4" s="1"/>
  <c r="I46" i="4" l="1"/>
  <c r="I60" i="4" s="1"/>
  <c r="I62" i="4" s="1"/>
  <c r="I69" i="4" s="1"/>
  <c r="I72" i="4" s="1"/>
  <c r="I125" i="4" s="1"/>
  <c r="I124" i="4" l="1"/>
  <c r="K74" i="4"/>
  <c r="I76" i="4" s="1"/>
  <c r="I80" i="4" l="1"/>
  <c r="I79" i="4"/>
  <c r="I78" i="4"/>
  <c r="I81" i="4"/>
  <c r="I77" i="4"/>
  <c r="I82" i="4" l="1"/>
  <c r="I90" i="4" s="1"/>
  <c r="I92" i="4" s="1"/>
  <c r="I126" i="4" s="1"/>
  <c r="I128" i="4" s="1"/>
  <c r="I104" i="4" l="1"/>
  <c r="I105" i="4" l="1"/>
  <c r="I115" i="4" s="1"/>
  <c r="I117" i="4" s="1"/>
  <c r="I119" i="4" l="1"/>
  <c r="I107" i="4"/>
  <c r="I109" i="4"/>
  <c r="I108" i="4"/>
  <c r="I145" i="4" l="1"/>
  <c r="I148" i="4" s="1"/>
  <c r="I110" i="4"/>
  <c r="I129" i="4" l="1"/>
  <c r="I130" i="4" s="1"/>
  <c r="I147" i="4"/>
  <c r="D152" i="4" l="1"/>
  <c r="E2" i="9" s="1"/>
  <c r="G2" i="9" s="1"/>
  <c r="G4" i="9" s="1"/>
  <c r="G5" i="9" s="1"/>
  <c r="C160" i="4"/>
  <c r="C161" i="4" s="1"/>
  <c r="B158" i="4"/>
  <c r="C163" i="8"/>
</calcChain>
</file>

<file path=xl/sharedStrings.xml><?xml version="1.0" encoding="utf-8"?>
<sst xmlns="http://schemas.openxmlformats.org/spreadsheetml/2006/main" count="612" uniqueCount="230">
  <si>
    <t>Item</t>
  </si>
  <si>
    <t>Profissional</t>
  </si>
  <si>
    <t>Unidade de medida</t>
  </si>
  <si>
    <t>quantidade</t>
  </si>
  <si>
    <t>Valor unitário</t>
  </si>
  <si>
    <t>meses</t>
  </si>
  <si>
    <t>Valor total</t>
  </si>
  <si>
    <t>vigilante 12x36 Noturno</t>
  </si>
  <si>
    <t>posto</t>
  </si>
  <si>
    <t>vigilante 12x36 Diurno - sábados domingos e feriados</t>
  </si>
  <si>
    <t>Valor mensal</t>
  </si>
  <si>
    <t>Categoria profissional: Vigilante</t>
  </si>
  <si>
    <t>Discriminação dos Serviços</t>
  </si>
  <si>
    <t>A</t>
  </si>
  <si>
    <t>Data de apresentação da proposta</t>
  </si>
  <si>
    <t>-</t>
  </si>
  <si>
    <t>B</t>
  </si>
  <si>
    <t>Município</t>
  </si>
  <si>
    <t>Currais Novos</t>
  </si>
  <si>
    <t>C</t>
  </si>
  <si>
    <t>Ano do Acordo, Convenção ou Dissídio Coletivo</t>
  </si>
  <si>
    <t>D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</si>
  <si>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</si>
  <si>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</si>
  <si>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</si>
  <si>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</si>
  <si>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</si>
  <si>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Vigilância</t>
  </si>
  <si>
    <t>Posto</t>
  </si>
  <si>
    <t>Dados para composição dos custos referentes à mão-de-obra</t>
  </si>
  <si>
    <t>Tipo de serviço (mesmo serviço com características distintas)</t>
  </si>
  <si>
    <t>Vigilância 12x36 - Noturno</t>
  </si>
  <si>
    <t>Classificação Brasileira de Ocupações (CBO)</t>
  </si>
  <si>
    <t>5173-30</t>
  </si>
  <si>
    <t>Salário Normativo da Categoria Profissional</t>
  </si>
  <si>
    <t>Categoria profissional (vinculada à execução contratual)</t>
  </si>
  <si>
    <t>Vigilante</t>
  </si>
  <si>
    <t>Data base da categoria (dia/mês/ano)</t>
  </si>
  <si>
    <t>MÓDULO 1 - COMPOSIÇÃO DA REMUNERAÇÃO</t>
  </si>
  <si>
    <t>COMPOSIÇÃO DA REMUNERAÇÃO</t>
  </si>
  <si>
    <t>%</t>
  </si>
  <si>
    <t>VALOR (R$)</t>
  </si>
  <si>
    <t>Salário Base</t>
  </si>
  <si>
    <t>(I23+I24)*8,33%*1,2</t>
  </si>
  <si>
    <t xml:space="preserve">Adicional Periculosidade </t>
  </si>
  <si>
    <t>Adicional Insalubridade</t>
  </si>
  <si>
    <t>Adicional Noturno</t>
  </si>
  <si>
    <t>E</t>
  </si>
  <si>
    <t>Adicional de Hora Noturna Reduzida</t>
  </si>
  <si>
    <t>F</t>
  </si>
  <si>
    <t>TOTAL DO MÓDULO 1</t>
  </si>
  <si>
    <t>MÓDULO 2 – ENCARGOS E BENEFÍCIOS ANUAIS, MENSAIS E DIÁRIOS</t>
  </si>
  <si>
    <t>Submódulo 2.1 - 13º Salário, Férias e Adicional de Férias</t>
  </si>
  <si>
    <r>
      <rPr>
        <sz val="10"/>
        <rFont val="Arial"/>
        <family val="2"/>
      </rPr>
      <t>13 (Décimo-terceiro) salário</t>
    </r>
    <r>
      <rPr>
        <sz val="10"/>
        <color indexed="10"/>
        <rFont val="Arial"/>
        <family val="2"/>
      </rPr>
      <t xml:space="preserve"> </t>
    </r>
  </si>
  <si>
    <t>Férias e Adicional de Férias</t>
  </si>
  <si>
    <t>TOTAL SUBMÓDULO 2.1</t>
  </si>
  <si>
    <t>BASE 2.2</t>
  </si>
  <si>
    <t>Submódulo 2.2 - GPS, FGTS e Outras Contribuições</t>
  </si>
  <si>
    <t xml:space="preserve">INSS </t>
  </si>
  <si>
    <t xml:space="preserve">Salário Educação </t>
  </si>
  <si>
    <t>SAT (Seguro Acidente de Trabalho)</t>
  </si>
  <si>
    <t>SESC ou SESI</t>
  </si>
  <si>
    <t xml:space="preserve">SENAI - SENAC </t>
  </si>
  <si>
    <t xml:space="preserve">SEBRAE </t>
  </si>
  <si>
    <t>G</t>
  </si>
  <si>
    <t xml:space="preserve">INCRA </t>
  </si>
  <si>
    <t>H</t>
  </si>
  <si>
    <t xml:space="preserve">FGTS </t>
  </si>
  <si>
    <t>TOTAL SUBMÓDULO 2.2</t>
  </si>
  <si>
    <t>Submódulo 2.3 - Benefícios Mensais e Diários</t>
  </si>
  <si>
    <t xml:space="preserve">Transporte </t>
  </si>
  <si>
    <t xml:space="preserve">Auxílio-Refeição/Alimentação </t>
  </si>
  <si>
    <t xml:space="preserve">Assistência Médica e Familiar </t>
  </si>
  <si>
    <t xml:space="preserve">Benefício Social Familiar </t>
  </si>
  <si>
    <t xml:space="preserve">Contribuição Negocial Patronal </t>
  </si>
  <si>
    <t>Outros (Seguro de vida, Invalidez e Funeral)</t>
  </si>
  <si>
    <t>TOTAL SUBMÓDULO 2.3</t>
  </si>
  <si>
    <t>QUADRO-RESUMO DO MÓDULO 2 - ENCARGOS, BENEFÍCIOS ANUAIS, MENSAIS E DIÁRIOS</t>
  </si>
  <si>
    <t>Módulo 2 - Encargos, Benefícios Anuais, Mensais e Diários</t>
  </si>
  <si>
    <t>2.1</t>
  </si>
  <si>
    <t>13º Salário, Férias e Adicional de Férias</t>
  </si>
  <si>
    <t>2.2</t>
  </si>
  <si>
    <t>GPS, FGTS e Outras Contribuições</t>
  </si>
  <si>
    <t>2.3</t>
  </si>
  <si>
    <t>Benefícios Mensais e Diários</t>
  </si>
  <si>
    <t>TOTAL DO MÓDULO 2</t>
  </si>
  <si>
    <t>MÓDULO 3 – PROVISÃO PARA RESCISÃO</t>
  </si>
  <si>
    <t>PROVISÃO PARA RESCISÃO</t>
  </si>
  <si>
    <t>Aviso Prévio Indenizado</t>
  </si>
  <si>
    <t>Incidência do FGTS sobre Aviso Prévio Indenizado</t>
  </si>
  <si>
    <t>Multa do FGTS e Contribuição Social sobre o Aviso Prévio Indenizado</t>
  </si>
  <si>
    <t xml:space="preserve">Aviso Prévio Trabalhado </t>
  </si>
  <si>
    <t>Incidência de GPS, FGTS e outras contribuições sobre Aviso Prévio Trabalhado</t>
  </si>
  <si>
    <t xml:space="preserve">Multa do FGTS e Contribuição Social sobre o Aviso Prévio Trabalhado. </t>
  </si>
  <si>
    <t>TOTAL DO MÓDULO 3</t>
  </si>
  <si>
    <t>MÓDULO 4 – CUSTO DE REPOSIÇÃO DO PROFISSIONAL AUSENTE</t>
  </si>
  <si>
    <t>BASE 4</t>
  </si>
  <si>
    <t>Submódulo 4.1 - Substituto nas Ausências Legais</t>
  </si>
  <si>
    <t xml:space="preserve">Substituto na cobertura de Férias </t>
  </si>
  <si>
    <t>Substituto na cobertura de Ausências Legais</t>
  </si>
  <si>
    <t>Substituto na cobertura de Licença Paternidade</t>
  </si>
  <si>
    <r>
      <rPr>
        <sz val="10"/>
        <rFont val="Arial"/>
        <family val="2"/>
      </rPr>
      <t>Substituto na cobertura de Ausência por Acidente de Trabalho</t>
    </r>
    <r>
      <rPr>
        <sz val="10"/>
        <color indexed="10"/>
        <rFont val="Arial"/>
        <family val="2"/>
      </rPr>
      <t xml:space="preserve"> </t>
    </r>
  </si>
  <si>
    <t>Substituto na cobertura de Afastamento Maternidade</t>
  </si>
  <si>
    <t>Substituto na cobertura de Outras Ausências (Ausência por doença)</t>
  </si>
  <si>
    <t>TOTAL SUBMÓDULO 4.1</t>
  </si>
  <si>
    <t>Submódulo 4.2 - Substituto na Intrajornada</t>
  </si>
  <si>
    <t>Intervalo para Repouso ou Alimentação</t>
  </si>
  <si>
    <t>TOTAL SUBMÓDULO 4.2</t>
  </si>
  <si>
    <t>QUADRO-RESUMO DO MÓDULO 4 - CUSTO DE REPOSIÇÃO DO PROFISSIONAL AUSENTE</t>
  </si>
  <si>
    <t>Módulo 4 - Custo de Reposição do Profissional Ausente</t>
  </si>
  <si>
    <t>4.1</t>
  </si>
  <si>
    <t>Substituto nas Ausências Legais</t>
  </si>
  <si>
    <t>4.2</t>
  </si>
  <si>
    <t>Substituto na Intrajornada</t>
  </si>
  <si>
    <t>TOTAL DO MÓDULO 4</t>
  </si>
  <si>
    <t>MÓDULO 5 – INSUMOS DIVERSOS</t>
  </si>
  <si>
    <t>INSUMOS DIVERSOS</t>
  </si>
  <si>
    <t xml:space="preserve">Uniformes </t>
  </si>
  <si>
    <t>Materiais e equipamentos</t>
  </si>
  <si>
    <t>Equipamentos</t>
  </si>
  <si>
    <t>Outros (especificar)</t>
  </si>
  <si>
    <t>TOTAL DO MÓDULO 5</t>
  </si>
  <si>
    <t>MÓDULO 6 – CUSTOS INDIRETOS, TRIBUTOS E LUCRO</t>
  </si>
  <si>
    <t>CUSTOS INDIRETOS, TRIBUTOS E LUCRO</t>
  </si>
  <si>
    <t>Custos Indiretos</t>
  </si>
  <si>
    <t>Lucro</t>
  </si>
  <si>
    <t>TRIBUTOS</t>
  </si>
  <si>
    <t>C.1</t>
  </si>
  <si>
    <t>PIS</t>
  </si>
  <si>
    <t>C.2</t>
  </si>
  <si>
    <t>COFINS</t>
  </si>
  <si>
    <t>C.3</t>
  </si>
  <si>
    <t>ISS</t>
  </si>
  <si>
    <t>TOTAL DO MÓDULO 6</t>
  </si>
  <si>
    <t>a)</t>
  </si>
  <si>
    <t>Tributos % = To = .............................................................</t>
  </si>
  <si>
    <t>b)</t>
  </si>
  <si>
    <t>(Total dos Módulos 1, 2, 3, 4 e 5+ Custos indiretos + lucro)= Po = ...................................</t>
  </si>
  <si>
    <t>c)</t>
  </si>
  <si>
    <t>Po / (1 - To) = P1 = ..............................................................................</t>
  </si>
  <si>
    <t>Valor dos Tributos = P1 - Po</t>
  </si>
  <si>
    <t>QUADRO RESUMO DO CUSTO POR EMPREGADO</t>
  </si>
  <si>
    <t>Mão-de-Obra vinculada à execução contratual (valor por empregado)</t>
  </si>
  <si>
    <t>Subtotal (A + B + C + D + E)</t>
  </si>
  <si>
    <t>PREÇO TOTAL POR EMPREGADO</t>
  </si>
  <si>
    <t>Quantidade empregados por posto</t>
  </si>
  <si>
    <t>Quadro Resumo - VALOR MENSAL DOS SERVIÇOS</t>
  </si>
  <si>
    <t>Tipo de Serviço (A)</t>
  </si>
  <si>
    <t>Valor Por Empregado(B)</t>
  </si>
  <si>
    <t>Qde de Empregados por posto ( C )</t>
  </si>
  <si>
    <t>Valor Proposto por Posto (D) = (B x C)</t>
  </si>
  <si>
    <t>Qde Postos (E)</t>
  </si>
  <si>
    <t>Serviço 1 (indicar)</t>
  </si>
  <si>
    <t>R$</t>
  </si>
  <si>
    <t>Serviço 2 (indicar)</t>
  </si>
  <si>
    <t>Serviço 3 (indicar)</t>
  </si>
  <si>
    <t>Serviço ... (indicar)</t>
  </si>
  <si>
    <t>VALOR MENSAL DOS SERVIÇOS (I + II + III + ...)</t>
  </si>
  <si>
    <t>Anexo III-D</t>
  </si>
  <si>
    <t>Quadro Demonstrativo - VALOR GLOBAL DA PROPOSTA</t>
  </si>
  <si>
    <t>VALOR GLOBAL DA PROPOSTA</t>
  </si>
  <si>
    <t>Descrição</t>
  </si>
  <si>
    <t>Valor proposto por unidade de medida*</t>
  </si>
  <si>
    <t>Valor mensal do serviço</t>
  </si>
  <si>
    <t>Valor Global da Proposta (valor mensal do serviço X nº meses do contrato).</t>
  </si>
  <si>
    <t>TOTAL</t>
  </si>
  <si>
    <t>Nota(1):</t>
  </si>
  <si>
    <t>Informar o valor da unidade de medida por tipo de serviço.</t>
  </si>
  <si>
    <t>Valor total do Posto</t>
  </si>
  <si>
    <t>Obs 1: De acordo com o entendimento do TCU no Acórdão nº 1.186/2017 - Plenário, a Administração "deve estabelecer na minuta do contrato que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12.506/2011"</t>
  </si>
  <si>
    <t>Obs 2: Nas eventuais prorrogações do contrato, os custos não renováveis já pagos ou amortizados no primeiro ano da contratação deverão ser eliminados como condição para a renovação.</t>
  </si>
  <si>
    <t>FATOR K</t>
  </si>
  <si>
    <t>PREÇO MENSAL</t>
  </si>
  <si>
    <t>PREÇO GLOBAL</t>
  </si>
  <si>
    <t>Vigilância 12x36 - Diurno</t>
  </si>
  <si>
    <t>Outros (Seguro de vida, invalidez e funeral)</t>
  </si>
  <si>
    <t>Materiais</t>
  </si>
  <si>
    <t xml:space="preserve">TOTAL JORNADA PARCIAL 125 DIAS/ANO </t>
  </si>
  <si>
    <t>(I131/15)*8,648/2</t>
  </si>
  <si>
    <t>Valor total por posto</t>
  </si>
  <si>
    <t>Obs 2: Nas eventuais prorrogações dos contrato, os custos não renováveis já pagos ou amortizados no primeiro ano da contratação deverão ser eliminados como condição para a renovação.</t>
  </si>
  <si>
    <t>Área (m2)</t>
  </si>
  <si>
    <t>Produtividade IN 05/2017</t>
  </si>
  <si>
    <t>Quantidade apurada</t>
  </si>
  <si>
    <t>Quantidade de Serventes</t>
  </si>
  <si>
    <t>Área Interna</t>
  </si>
  <si>
    <t>Área Externa</t>
  </si>
  <si>
    <t>Memória de Cálculo de Uniforme</t>
  </si>
  <si>
    <t>Quant</t>
  </si>
  <si>
    <t>Preço Unitário</t>
  </si>
  <si>
    <t>Preço Total</t>
  </si>
  <si>
    <t>Boné</t>
  </si>
  <si>
    <t>Calça</t>
  </si>
  <si>
    <t>Camisa</t>
  </si>
  <si>
    <t>Coturno</t>
  </si>
  <si>
    <t>Cinto</t>
  </si>
  <si>
    <t>Crachá</t>
  </si>
  <si>
    <t>Japoneta (jaqueta)</t>
  </si>
  <si>
    <t>Distintivo</t>
  </si>
  <si>
    <t>Meia</t>
  </si>
  <si>
    <t>TOTAL (12 meses)</t>
  </si>
  <si>
    <t>Custo por profissional por mês</t>
  </si>
  <si>
    <t>Equipamentos e Materiais -Duráveis - Custo mensal da depreciação</t>
  </si>
  <si>
    <t xml:space="preserve">Descrição </t>
  </si>
  <si>
    <t>Qtd.</t>
  </si>
  <si>
    <t>Valor Unitário</t>
  </si>
  <si>
    <t>Vida útil - anos</t>
  </si>
  <si>
    <t>Depreciação anual</t>
  </si>
  <si>
    <t>Custo Mensal</t>
  </si>
  <si>
    <t>Custo Anual</t>
  </si>
  <si>
    <t>Tonfa </t>
  </si>
  <si>
    <t>Arma de fogo pequeno porte – Revólver Calibre 38 </t>
  </si>
  <si>
    <t>Projétil para Revólver Calibre 38</t>
  </si>
  <si>
    <t>Cinto de guarnição</t>
  </si>
  <si>
    <t>Coldre </t>
  </si>
  <si>
    <t>Colete Prova Tiro Material: Kevlar , Comprimento: 50 CM, Largura: 86 A 102 CM, Nível Proteção: Iii-A</t>
  </si>
  <si>
    <t>Valores</t>
  </si>
  <si>
    <t>Materiais não duráveis</t>
  </si>
  <si>
    <t>Porta tonfa</t>
  </si>
  <si>
    <t>Apito</t>
  </si>
  <si>
    <t>Livro Ata</t>
  </si>
  <si>
    <t>Lanterna</t>
  </si>
  <si>
    <t>RN000117/2024</t>
  </si>
  <si>
    <t>Benefício Social</t>
  </si>
  <si>
    <t>COFRE</t>
  </si>
  <si>
    <t>Outros</t>
  </si>
  <si>
    <t>Quant por posto</t>
  </si>
  <si>
    <t>Qtd. Por posto</t>
  </si>
  <si>
    <t>Uniforme</t>
  </si>
  <si>
    <t>Categoria profissional: Vigilante (Sábados domingos e feriados - Diurno)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</si>
</sst>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&quot;R$ &quot;#,##0.00_);[Red]\(&quot;R$ &quot;#,##0.00\)"/>
    <numFmt numFmtId="165" formatCode="_(&quot;R$ &quot;* #,##0.00_);_(&quot;R$ &quot;* \(#,##0.00\);_(&quot;R$ &quot;* &quot;-&quot;??_);_(@_)"/>
    <numFmt numFmtId="166" formatCode="0.000%"/>
    <numFmt numFmtId="167" formatCode="&quot;R$&quot;\ #,##0.00"/>
  </numFmts>
  <fonts count="10">
    <font>
      <sz val="10"/>
      <name val="Arial"/>
      <charset val="134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</fills>
  <borders count="4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9" fontId="3" fillId="0" borderId="0" applyFill="0" applyBorder="0" applyAlignment="0" applyProtection="0"/>
    <xf numFmtId="165" fontId="3" fillId="0" borderId="0" applyFill="0" applyBorder="0" applyAlignment="0" applyProtection="0"/>
  </cellStyleXfs>
  <cellXfs count="188">
    <xf numFmtId="0" fontId="0" fillId="0" borderId="0" xfId="0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5" fontId="0" fillId="0" borderId="1" xfId="2" applyFont="1" applyBorder="1"/>
    <xf numFmtId="0" fontId="0" fillId="0" borderId="1" xfId="0" applyBorder="1"/>
    <xf numFmtId="165" fontId="2" fillId="2" borderId="1" xfId="0" applyNumberFormat="1" applyFont="1" applyFill="1" applyBorder="1"/>
    <xf numFmtId="165" fontId="2" fillId="0" borderId="1" xfId="0" applyNumberFormat="1" applyFont="1" applyBorder="1"/>
    <xf numFmtId="0" fontId="2" fillId="0" borderId="1" xfId="0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0" fontId="0" fillId="6" borderId="1" xfId="0" applyNumberFormat="1" applyFill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2" fontId="2" fillId="0" borderId="1" xfId="0" applyNumberFormat="1" applyFont="1" applyBorder="1"/>
    <xf numFmtId="2" fontId="2" fillId="0" borderId="0" xfId="0" applyNumberFormat="1" applyFont="1"/>
    <xf numFmtId="0" fontId="2" fillId="0" borderId="0" xfId="0" applyFont="1"/>
    <xf numFmtId="2" fontId="0" fillId="0" borderId="1" xfId="0" applyNumberFormat="1" applyBorder="1" applyAlignment="1">
      <alignment horizontal="right"/>
    </xf>
    <xf numFmtId="2" fontId="0" fillId="0" borderId="1" xfId="0" applyNumberFormat="1" applyBorder="1"/>
    <xf numFmtId="10" fontId="0" fillId="0" borderId="1" xfId="0" applyNumberFormat="1" applyBorder="1" applyAlignment="1">
      <alignment horizontal="center"/>
    </xf>
    <xf numFmtId="0" fontId="5" fillId="0" borderId="2" xfId="0" applyFont="1" applyBorder="1" applyAlignment="1">
      <alignment horizontal="center"/>
    </xf>
    <xf numFmtId="10" fontId="5" fillId="0" borderId="3" xfId="1" applyNumberFormat="1" applyFont="1" applyBorder="1" applyAlignment="1"/>
    <xf numFmtId="0" fontId="5" fillId="0" borderId="13" xfId="0" applyFont="1" applyBorder="1" applyAlignment="1">
      <alignment horizontal="center"/>
    </xf>
    <xf numFmtId="0" fontId="5" fillId="0" borderId="0" xfId="0" applyFont="1" applyAlignment="1">
      <alignment horizontal="left"/>
    </xf>
    <xf numFmtId="10" fontId="5" fillId="0" borderId="0" xfId="1" applyNumberFormat="1" applyFont="1" applyBorder="1" applyAlignment="1"/>
    <xf numFmtId="0" fontId="4" fillId="0" borderId="13" xfId="0" applyFont="1" applyBorder="1"/>
    <xf numFmtId="0" fontId="5" fillId="0" borderId="14" xfId="0" applyFont="1" applyBorder="1" applyAlignment="1">
      <alignment horizontal="center"/>
    </xf>
    <xf numFmtId="10" fontId="5" fillId="0" borderId="12" xfId="1" applyNumberFormat="1" applyFont="1" applyBorder="1" applyAlignment="1"/>
    <xf numFmtId="2" fontId="0" fillId="0" borderId="1" xfId="0" applyNumberFormat="1" applyBorder="1" applyAlignment="1">
      <alignment horizontal="center"/>
    </xf>
    <xf numFmtId="2" fontId="5" fillId="0" borderId="4" xfId="0" applyNumberFormat="1" applyFont="1" applyBorder="1"/>
    <xf numFmtId="2" fontId="5" fillId="0" borderId="15" xfId="0" applyNumberFormat="1" applyFont="1" applyBorder="1"/>
    <xf numFmtId="2" fontId="5" fillId="0" borderId="16" xfId="0" applyNumberFormat="1" applyFont="1" applyBorder="1"/>
    <xf numFmtId="165" fontId="2" fillId="0" borderId="0" xfId="2" applyFont="1"/>
    <xf numFmtId="0" fontId="2" fillId="0" borderId="19" xfId="0" applyFont="1" applyBorder="1" applyAlignment="1">
      <alignment horizontal="center" wrapText="1"/>
    </xf>
    <xf numFmtId="0" fontId="2" fillId="0" borderId="20" xfId="0" applyFont="1" applyBorder="1" applyAlignment="1">
      <alignment horizontal="center" wrapText="1"/>
    </xf>
    <xf numFmtId="0" fontId="0" fillId="0" borderId="26" xfId="0" applyBorder="1"/>
    <xf numFmtId="0" fontId="0" fillId="0" borderId="27" xfId="0" applyBorder="1"/>
    <xf numFmtId="0" fontId="0" fillId="0" borderId="8" xfId="0" applyBorder="1"/>
    <xf numFmtId="0" fontId="0" fillId="0" borderId="30" xfId="0" applyBorder="1"/>
    <xf numFmtId="0" fontId="2" fillId="0" borderId="8" xfId="0" applyFont="1" applyBorder="1"/>
    <xf numFmtId="0" fontId="2" fillId="0" borderId="30" xfId="0" applyFont="1" applyBorder="1"/>
    <xf numFmtId="0" fontId="0" fillId="0" borderId="34" xfId="0" applyBorder="1"/>
    <xf numFmtId="0" fontId="0" fillId="0" borderId="35" xfId="0" applyBorder="1"/>
    <xf numFmtId="0" fontId="0" fillId="0" borderId="39" xfId="0" applyBorder="1" applyAlignment="1">
      <alignment horizontal="center"/>
    </xf>
    <xf numFmtId="0" fontId="0" fillId="0" borderId="28" xfId="0" applyBorder="1" applyAlignment="1">
      <alignment horizontal="center"/>
    </xf>
    <xf numFmtId="0" fontId="2" fillId="0" borderId="20" xfId="0" applyFont="1" applyBorder="1" applyAlignment="1">
      <alignment horizontal="center"/>
    </xf>
    <xf numFmtId="2" fontId="0" fillId="0" borderId="45" xfId="0" applyNumberFormat="1" applyBorder="1"/>
    <xf numFmtId="2" fontId="0" fillId="0" borderId="46" xfId="0" applyNumberFormat="1" applyBorder="1"/>
    <xf numFmtId="2" fontId="0" fillId="0" borderId="47" xfId="0" applyNumberFormat="1" applyBorder="1"/>
    <xf numFmtId="2" fontId="2" fillId="0" borderId="48" xfId="0" applyNumberFormat="1" applyFont="1" applyBorder="1"/>
    <xf numFmtId="2" fontId="0" fillId="0" borderId="25" xfId="0" applyNumberFormat="1" applyBorder="1"/>
    <xf numFmtId="2" fontId="0" fillId="0" borderId="29" xfId="0" applyNumberFormat="1" applyBorder="1"/>
    <xf numFmtId="10" fontId="3" fillId="0" borderId="1" xfId="1" applyNumberFormat="1" applyBorder="1" applyAlignment="1">
      <alignment horizontal="center"/>
    </xf>
    <xf numFmtId="10" fontId="3" fillId="0" borderId="1" xfId="1" applyNumberFormat="1" applyFill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0" fontId="0" fillId="0" borderId="1" xfId="0" applyNumberFormat="1" applyBorder="1"/>
    <xf numFmtId="10" fontId="3" fillId="0" borderId="1" xfId="1" applyNumberFormat="1" applyBorder="1" applyAlignment="1"/>
    <xf numFmtId="9" fontId="3" fillId="0" borderId="1" xfId="1" applyBorder="1" applyAlignment="1"/>
    <xf numFmtId="2" fontId="0" fillId="0" borderId="0" xfId="0" applyNumberFormat="1"/>
    <xf numFmtId="43" fontId="0" fillId="0" borderId="0" xfId="0" applyNumberFormat="1"/>
    <xf numFmtId="0" fontId="0" fillId="0" borderId="24" xfId="0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3" fillId="0" borderId="1" xfId="0" applyFont="1" applyBorder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10" fontId="0" fillId="0" borderId="0" xfId="0" applyNumberFormat="1"/>
    <xf numFmtId="2" fontId="0" fillId="9" borderId="1" xfId="0" applyNumberFormat="1" applyFill="1" applyBorder="1"/>
    <xf numFmtId="10" fontId="3" fillId="9" borderId="1" xfId="1" applyNumberFormat="1" applyFill="1" applyBorder="1" applyAlignment="1"/>
    <xf numFmtId="10" fontId="0" fillId="9" borderId="1" xfId="0" applyNumberFormat="1" applyFill="1" applyBorder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/>
    </xf>
    <xf numFmtId="10" fontId="3" fillId="6" borderId="1" xfId="0" applyNumberFormat="1" applyFont="1" applyFill="1" applyBorder="1" applyAlignment="1">
      <alignment horizontal="center"/>
    </xf>
    <xf numFmtId="2" fontId="3" fillId="0" borderId="1" xfId="0" applyNumberFormat="1" applyFont="1" applyBorder="1"/>
    <xf numFmtId="2" fontId="2" fillId="9" borderId="1" xfId="0" applyNumberFormat="1" applyFont="1" applyFill="1" applyBorder="1"/>
    <xf numFmtId="165" fontId="0" fillId="9" borderId="1" xfId="0" applyNumberFormat="1" applyFill="1" applyBorder="1"/>
    <xf numFmtId="0" fontId="7" fillId="0" borderId="1" xfId="0" applyFont="1" applyBorder="1"/>
    <xf numFmtId="0" fontId="8" fillId="0" borderId="1" xfId="0" applyFont="1" applyBorder="1" applyAlignment="1">
      <alignment horizontal="justify" vertical="center" wrapText="1"/>
    </xf>
    <xf numFmtId="9" fontId="0" fillId="0" borderId="1" xfId="0" applyNumberFormat="1" applyBorder="1" applyAlignment="1">
      <alignment horizontal="center"/>
    </xf>
    <xf numFmtId="0" fontId="8" fillId="0" borderId="1" xfId="0" applyFont="1" applyBorder="1" applyAlignment="1">
      <alignment vertical="center" wrapText="1"/>
    </xf>
    <xf numFmtId="4" fontId="0" fillId="0" borderId="1" xfId="0" applyNumberFormat="1" applyBorder="1" applyAlignment="1">
      <alignment horizontal="center"/>
    </xf>
    <xf numFmtId="2" fontId="7" fillId="0" borderId="1" xfId="0" applyNumberFormat="1" applyFont="1" applyBorder="1"/>
    <xf numFmtId="2" fontId="7" fillId="0" borderId="1" xfId="0" applyNumberFormat="1" applyFont="1" applyBorder="1" applyAlignment="1">
      <alignment horizontal="center"/>
    </xf>
    <xf numFmtId="165" fontId="0" fillId="10" borderId="1" xfId="2" applyFont="1" applyFill="1" applyBorder="1"/>
    <xf numFmtId="165" fontId="0" fillId="11" borderId="1" xfId="2" applyFont="1" applyFill="1" applyBorder="1"/>
    <xf numFmtId="0" fontId="0" fillId="11" borderId="1" xfId="0" applyFill="1" applyBorder="1" applyAlignment="1">
      <alignment horizontal="center"/>
    </xf>
    <xf numFmtId="0" fontId="0" fillId="11" borderId="1" xfId="0" applyFill="1" applyBorder="1"/>
    <xf numFmtId="4" fontId="0" fillId="11" borderId="1" xfId="0" applyNumberFormat="1" applyFill="1" applyBorder="1" applyAlignment="1">
      <alignment horizontal="center"/>
    </xf>
    <xf numFmtId="0" fontId="1" fillId="2" borderId="0" xfId="0" applyFont="1" applyFill="1"/>
    <xf numFmtId="0" fontId="2" fillId="0" borderId="1" xfId="0" applyFont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2" fillId="4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7" borderId="7" xfId="0" applyFont="1" applyFill="1" applyBorder="1" applyAlignment="1">
      <alignment horizontal="center"/>
    </xf>
    <xf numFmtId="0" fontId="2" fillId="7" borderId="0" xfId="0" applyFont="1" applyFill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2" fillId="7" borderId="5" xfId="0" applyFont="1" applyFill="1" applyBorder="1" applyAlignment="1">
      <alignment horizontal="center"/>
    </xf>
    <xf numFmtId="0" fontId="3" fillId="0" borderId="1" xfId="0" applyFont="1" applyBorder="1"/>
    <xf numFmtId="0" fontId="0" fillId="0" borderId="1" xfId="0" applyBorder="1"/>
    <xf numFmtId="0" fontId="3" fillId="0" borderId="5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/>
    </xf>
    <xf numFmtId="0" fontId="2" fillId="8" borderId="1" xfId="0" applyFont="1" applyFill="1" applyBorder="1" applyAlignment="1">
      <alignment horizontal="center"/>
    </xf>
    <xf numFmtId="0" fontId="2" fillId="7" borderId="9" xfId="0" applyFont="1" applyFill="1" applyBorder="1" applyAlignment="1">
      <alignment horizontal="center"/>
    </xf>
    <xf numFmtId="0" fontId="2" fillId="7" borderId="3" xfId="0" applyFon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2" fillId="7" borderId="8" xfId="0" applyFont="1" applyFill="1" applyBorder="1" applyAlignment="1">
      <alignment horizontal="center"/>
    </xf>
    <xf numFmtId="0" fontId="2" fillId="7" borderId="11" xfId="0" applyFont="1" applyFill="1" applyBorder="1" applyAlignment="1">
      <alignment horizontal="center"/>
    </xf>
    <xf numFmtId="0" fontId="2" fillId="7" borderId="12" xfId="0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12" xfId="0" applyFont="1" applyBorder="1" applyAlignment="1">
      <alignment horizontal="left"/>
    </xf>
    <xf numFmtId="0" fontId="2" fillId="0" borderId="1" xfId="0" applyFont="1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7" fontId="0" fillId="0" borderId="5" xfId="0" applyNumberFormat="1" applyBorder="1" applyAlignment="1">
      <alignment horizontal="center"/>
    </xf>
    <xf numFmtId="167" fontId="0" fillId="0" borderId="8" xfId="0" applyNumberFormat="1" applyBorder="1" applyAlignment="1">
      <alignment horizontal="center"/>
    </xf>
    <xf numFmtId="167" fontId="0" fillId="0" borderId="6" xfId="0" applyNumberForma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0" fontId="2" fillId="0" borderId="40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0" fillId="0" borderId="41" xfId="0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42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32" xfId="0" applyBorder="1" applyAlignment="1">
      <alignment horizontal="left"/>
    </xf>
    <xf numFmtId="0" fontId="0" fillId="0" borderId="34" xfId="0" applyBorder="1" applyAlignment="1">
      <alignment horizontal="left"/>
    </xf>
    <xf numFmtId="0" fontId="0" fillId="0" borderId="43" xfId="0" applyBorder="1" applyAlignment="1">
      <alignment horizontal="left"/>
    </xf>
    <xf numFmtId="0" fontId="0" fillId="0" borderId="17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24" xfId="0" applyBorder="1" applyAlignment="1">
      <alignment horizontal="left"/>
    </xf>
    <xf numFmtId="0" fontId="0" fillId="0" borderId="25" xfId="0" applyBorder="1" applyAlignment="1">
      <alignment horizontal="left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0" fillId="0" borderId="21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2" xfId="0" applyBorder="1" applyAlignment="1">
      <alignment horizontal="left"/>
    </xf>
    <xf numFmtId="0" fontId="0" fillId="0" borderId="23" xfId="0" applyBorder="1" applyAlignment="1">
      <alignment horizontal="left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3" xfId="0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right" wrapText="1"/>
    </xf>
    <xf numFmtId="0" fontId="0" fillId="0" borderId="8" xfId="0" applyBorder="1" applyAlignment="1">
      <alignment horizontal="right" wrapText="1"/>
    </xf>
    <xf numFmtId="0" fontId="0" fillId="0" borderId="6" xfId="0" applyBorder="1" applyAlignment="1">
      <alignment horizontal="right" wrapText="1"/>
    </xf>
    <xf numFmtId="0" fontId="2" fillId="2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9" fillId="0" borderId="1" xfId="0" applyFont="1" applyBorder="1" applyAlignment="1">
      <alignment horizontal="right" vertical="center" wrapText="1"/>
    </xf>
    <xf numFmtId="0" fontId="1" fillId="2" borderId="0" xfId="0" applyFont="1" applyFill="1" applyAlignment="1">
      <alignment horizontal="center"/>
    </xf>
  </cellXfs>
  <cellStyles count="3">
    <cellStyle name="Moeda" xfId="2" builtinId="4"/>
    <cellStyle name="Normal" xfId="0" builtinId="0"/>
    <cellStyle name="Porcentagem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FA75B6-7F57-49EA-BE3A-2FA6E0820A76}">
  <sheetPr>
    <pageSetUpPr fitToPage="1"/>
  </sheetPr>
  <dimension ref="A1:G5"/>
  <sheetViews>
    <sheetView workbookViewId="0">
      <selection sqref="A1:G5"/>
    </sheetView>
  </sheetViews>
  <sheetFormatPr defaultRowHeight="12.75"/>
  <cols>
    <col min="2" max="2" width="22.85546875" customWidth="1"/>
    <col min="3" max="3" width="20.5703125" customWidth="1"/>
    <col min="4" max="4" width="10.7109375" customWidth="1"/>
    <col min="5" max="5" width="14.7109375" customWidth="1"/>
    <col min="6" max="6" width="13.5703125" customWidth="1"/>
    <col min="7" max="7" width="15" customWidth="1"/>
  </cols>
  <sheetData>
    <row r="1" spans="1:7">
      <c r="A1" s="71" t="s">
        <v>0</v>
      </c>
      <c r="B1" s="71" t="s">
        <v>1</v>
      </c>
      <c r="C1" s="71" t="s">
        <v>2</v>
      </c>
      <c r="D1" s="71" t="s">
        <v>3</v>
      </c>
      <c r="E1" s="71" t="s">
        <v>4</v>
      </c>
      <c r="F1" s="71" t="s">
        <v>5</v>
      </c>
      <c r="G1" s="7" t="s">
        <v>6</v>
      </c>
    </row>
    <row r="2" spans="1:7" ht="21" customHeight="1">
      <c r="A2" s="62">
        <v>1</v>
      </c>
      <c r="B2" s="72" t="s">
        <v>7</v>
      </c>
      <c r="C2" s="72" t="s">
        <v>8</v>
      </c>
      <c r="D2" s="62">
        <v>1</v>
      </c>
      <c r="E2" s="63">
        <f>'12 x 36 noturno'!D152</f>
        <v>13906.38</v>
      </c>
      <c r="F2" s="62">
        <v>24</v>
      </c>
      <c r="G2" s="63">
        <f>D2*E2*F2</f>
        <v>333753.12</v>
      </c>
    </row>
    <row r="3" spans="1:7" ht="41.25" customHeight="1">
      <c r="A3" s="62">
        <v>2</v>
      </c>
      <c r="B3" s="73" t="s">
        <v>9</v>
      </c>
      <c r="C3" s="72" t="s">
        <v>8</v>
      </c>
      <c r="D3" s="62">
        <v>1</v>
      </c>
      <c r="E3" s="63">
        <f>'Diurno finais de sem e fer'!D153</f>
        <v>4326.2993279999992</v>
      </c>
      <c r="F3" s="62">
        <v>24</v>
      </c>
      <c r="G3" s="63">
        <f>D3*E3*F3</f>
        <v>103831.18387199998</v>
      </c>
    </row>
    <row r="4" spans="1:7">
      <c r="A4" s="92" t="s">
        <v>6</v>
      </c>
      <c r="B4" s="92"/>
      <c r="C4" s="92"/>
      <c r="D4" s="92"/>
      <c r="E4" s="92"/>
      <c r="F4" s="92"/>
      <c r="G4" s="74">
        <f>G2+G3</f>
        <v>437584.30387199996</v>
      </c>
    </row>
    <row r="5" spans="1:7">
      <c r="A5" s="92" t="s">
        <v>10</v>
      </c>
      <c r="B5" s="92"/>
      <c r="C5" s="92"/>
      <c r="D5" s="92"/>
      <c r="E5" s="92"/>
      <c r="F5" s="92"/>
      <c r="G5" s="74">
        <f>G4/24</f>
        <v>18232.679327999998</v>
      </c>
    </row>
  </sheetData>
  <mergeCells count="2">
    <mergeCell ref="A4:F4"/>
    <mergeCell ref="A5:F5"/>
  </mergeCells>
  <pageMargins left="0.511811024" right="0.511811024" top="0.78740157499999996" bottom="0.78740157499999996" header="0.31496062000000002" footer="0.31496062000000002"/>
  <pageSetup paperSize="9" scale="8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3"/>
    <pageSetUpPr fitToPage="1"/>
  </sheetPr>
  <dimension ref="A1:M163"/>
  <sheetViews>
    <sheetView topLeftCell="A123" zoomScale="140" zoomScaleNormal="140" workbookViewId="0">
      <selection activeCell="A2" sqref="A2:I161"/>
    </sheetView>
  </sheetViews>
  <sheetFormatPr defaultColWidth="9.140625" defaultRowHeight="12.75"/>
  <cols>
    <col min="1" max="1" width="10" customWidth="1"/>
    <col min="3" max="3" width="15" customWidth="1"/>
    <col min="4" max="4" width="10.7109375" customWidth="1"/>
    <col min="5" max="5" width="10.85546875" customWidth="1"/>
    <col min="7" max="7" width="19.140625" customWidth="1"/>
    <col min="8" max="8" width="11" bestFit="1" customWidth="1"/>
    <col min="9" max="9" width="12" customWidth="1"/>
    <col min="10" max="10" width="9.5703125" customWidth="1"/>
    <col min="11" max="11" width="14" customWidth="1"/>
    <col min="13" max="13" width="9.5703125" customWidth="1"/>
  </cols>
  <sheetData>
    <row r="1" spans="1:9">
      <c r="A1" s="98"/>
      <c r="B1" s="98"/>
      <c r="C1" s="98"/>
      <c r="D1" s="98"/>
      <c r="E1" s="98"/>
      <c r="F1" s="98"/>
      <c r="G1" s="98"/>
      <c r="H1" s="98"/>
      <c r="I1" s="98"/>
    </row>
    <row r="2" spans="1:9">
      <c r="A2" s="101" t="s">
        <v>11</v>
      </c>
      <c r="B2" s="101"/>
      <c r="C2" s="101"/>
      <c r="D2" s="101"/>
      <c r="E2" s="101"/>
      <c r="F2" s="101"/>
      <c r="G2" s="101"/>
      <c r="H2" s="101"/>
      <c r="I2" s="101"/>
    </row>
    <row r="3" spans="1:9">
      <c r="A3" s="8"/>
      <c r="B3" s="8"/>
      <c r="C3" s="8"/>
      <c r="D3" s="8"/>
      <c r="E3" s="8"/>
      <c r="F3" s="8"/>
      <c r="G3" s="8"/>
      <c r="H3" s="8"/>
      <c r="I3" s="8"/>
    </row>
    <row r="4" spans="1:9">
      <c r="A4" s="99" t="s">
        <v>12</v>
      </c>
      <c r="B4" s="99"/>
      <c r="C4" s="99"/>
      <c r="D4" s="99"/>
      <c r="E4" s="99"/>
      <c r="F4" s="99"/>
      <c r="G4" s="99"/>
      <c r="H4" s="99"/>
      <c r="I4" s="99"/>
    </row>
    <row r="5" spans="1:9">
      <c r="A5" s="2" t="s">
        <v>13</v>
      </c>
      <c r="B5" s="94" t="s">
        <v>14</v>
      </c>
      <c r="C5" s="94"/>
      <c r="D5" s="94"/>
      <c r="E5" s="94"/>
      <c r="F5" s="94"/>
      <c r="G5" s="94"/>
      <c r="H5" s="97" t="s">
        <v>15</v>
      </c>
      <c r="I5" s="95"/>
    </row>
    <row r="6" spans="1:9">
      <c r="A6" s="2" t="s">
        <v>16</v>
      </c>
      <c r="B6" s="94" t="s">
        <v>17</v>
      </c>
      <c r="C6" s="94"/>
      <c r="D6" s="94"/>
      <c r="E6" s="94"/>
      <c r="F6" s="94"/>
      <c r="G6" s="94"/>
      <c r="H6" s="95" t="s">
        <v>18</v>
      </c>
      <c r="I6" s="95"/>
    </row>
    <row r="7" spans="1:9">
      <c r="A7" s="2" t="s">
        <v>19</v>
      </c>
      <c r="B7" s="94" t="s">
        <v>20</v>
      </c>
      <c r="C7" s="94"/>
      <c r="D7" s="94"/>
      <c r="E7" s="94"/>
      <c r="F7" s="94"/>
      <c r="G7" s="94"/>
      <c r="H7" s="95" t="s">
        <v>222</v>
      </c>
      <c r="I7" s="95"/>
    </row>
    <row r="8" spans="1:9">
      <c r="A8" s="2" t="s">
        <v>21</v>
      </c>
      <c r="B8" s="94" t="s">
        <v>22</v>
      </c>
      <c r="C8" s="94"/>
      <c r="D8" s="94"/>
      <c r="E8" s="94"/>
      <c r="F8" s="94"/>
      <c r="G8" s="94"/>
      <c r="H8" s="95">
        <v>24</v>
      </c>
      <c r="I8" s="95"/>
    </row>
    <row r="9" spans="1:9">
      <c r="A9" s="9"/>
      <c r="B9" s="8"/>
      <c r="C9" s="8"/>
      <c r="D9" s="8"/>
      <c r="E9" s="8"/>
      <c r="F9" s="8"/>
      <c r="G9" s="8"/>
      <c r="H9" s="9"/>
      <c r="I9" s="9"/>
    </row>
    <row r="10" spans="1:9">
      <c r="A10" s="99" t="s">
        <v>23</v>
      </c>
      <c r="B10" s="99"/>
      <c r="C10" s="99"/>
      <c r="D10" s="99"/>
      <c r="E10" s="99"/>
      <c r="F10" s="99"/>
      <c r="G10" s="99"/>
      <c r="H10" s="99"/>
      <c r="I10" s="99"/>
    </row>
    <row r="11" spans="1:9">
      <c r="A11" s="95" t="s">
        <v>24</v>
      </c>
      <c r="B11" s="95"/>
      <c r="C11" s="95" t="s">
        <v>25</v>
      </c>
      <c r="D11" s="95"/>
      <c r="E11" s="95" t="s">
        <v>26</v>
      </c>
      <c r="F11" s="95"/>
      <c r="G11" s="95"/>
      <c r="H11" s="95"/>
      <c r="I11" s="95"/>
    </row>
    <row r="12" spans="1:9">
      <c r="A12" s="95" t="s">
        <v>27</v>
      </c>
      <c r="B12" s="95"/>
      <c r="C12" s="95" t="s">
        <v>28</v>
      </c>
      <c r="D12" s="95"/>
      <c r="E12" s="95">
        <v>2</v>
      </c>
      <c r="F12" s="95"/>
      <c r="G12" s="95"/>
      <c r="H12" s="95"/>
      <c r="I12" s="95"/>
    </row>
    <row r="13" spans="1:9">
      <c r="A13" s="9"/>
      <c r="B13" s="8"/>
      <c r="C13" s="8"/>
      <c r="D13" s="8"/>
      <c r="E13" s="8"/>
      <c r="F13" s="8"/>
      <c r="G13" s="8"/>
      <c r="H13" s="9"/>
      <c r="I13" s="9"/>
    </row>
    <row r="14" spans="1:9">
      <c r="A14" s="99" t="s">
        <v>29</v>
      </c>
      <c r="B14" s="99"/>
      <c r="C14" s="99"/>
      <c r="D14" s="99"/>
      <c r="E14" s="99"/>
      <c r="F14" s="99"/>
      <c r="G14" s="99"/>
      <c r="H14" s="99"/>
      <c r="I14" s="99"/>
    </row>
    <row r="15" spans="1:9">
      <c r="A15" s="2">
        <v>1</v>
      </c>
      <c r="B15" s="94" t="s">
        <v>30</v>
      </c>
      <c r="C15" s="94"/>
      <c r="D15" s="94"/>
      <c r="E15" s="94"/>
      <c r="F15" s="94"/>
      <c r="G15" s="94"/>
      <c r="H15" s="100" t="s">
        <v>31</v>
      </c>
      <c r="I15" s="95"/>
    </row>
    <row r="16" spans="1:9">
      <c r="A16" s="2">
        <v>2</v>
      </c>
      <c r="B16" s="94" t="s">
        <v>32</v>
      </c>
      <c r="C16" s="94"/>
      <c r="D16" s="94"/>
      <c r="E16" s="94"/>
      <c r="F16" s="94"/>
      <c r="G16" s="94"/>
      <c r="H16" s="95" t="s">
        <v>33</v>
      </c>
      <c r="I16" s="95"/>
    </row>
    <row r="17" spans="1:13">
      <c r="A17" s="2">
        <v>3</v>
      </c>
      <c r="B17" s="94" t="s">
        <v>34</v>
      </c>
      <c r="C17" s="94"/>
      <c r="D17" s="94"/>
      <c r="E17" s="94"/>
      <c r="F17" s="94"/>
      <c r="G17" s="94"/>
      <c r="H17" s="96">
        <v>1858</v>
      </c>
      <c r="I17" s="95"/>
    </row>
    <row r="18" spans="1:13">
      <c r="A18" s="2">
        <v>4</v>
      </c>
      <c r="B18" s="94" t="s">
        <v>35</v>
      </c>
      <c r="C18" s="94"/>
      <c r="D18" s="94"/>
      <c r="E18" s="94"/>
      <c r="F18" s="94"/>
      <c r="G18" s="94"/>
      <c r="H18" s="95" t="s">
        <v>36</v>
      </c>
      <c r="I18" s="95"/>
    </row>
    <row r="19" spans="1:13">
      <c r="A19" s="2">
        <v>5</v>
      </c>
      <c r="B19" s="94" t="s">
        <v>37</v>
      </c>
      <c r="C19" s="94"/>
      <c r="D19" s="94"/>
      <c r="E19" s="94"/>
      <c r="F19" s="94"/>
      <c r="G19" s="94"/>
      <c r="H19" s="97">
        <v>45323</v>
      </c>
      <c r="I19" s="95"/>
    </row>
    <row r="20" spans="1:13">
      <c r="A20" s="98"/>
      <c r="B20" s="98"/>
      <c r="C20" s="98"/>
      <c r="D20" s="98"/>
      <c r="E20" s="98"/>
      <c r="F20" s="98"/>
      <c r="G20" s="98"/>
      <c r="H20" s="98"/>
      <c r="I20" s="98"/>
    </row>
    <row r="21" spans="1:13">
      <c r="A21" s="93" t="s">
        <v>38</v>
      </c>
      <c r="B21" s="93"/>
      <c r="C21" s="93"/>
      <c r="D21" s="93"/>
      <c r="E21" s="93"/>
      <c r="F21" s="93"/>
      <c r="G21" s="93"/>
      <c r="H21" s="93"/>
      <c r="I21" s="93"/>
    </row>
    <row r="22" spans="1:13">
      <c r="A22" s="1">
        <v>1</v>
      </c>
      <c r="B22" s="92" t="s">
        <v>39</v>
      </c>
      <c r="C22" s="92"/>
      <c r="D22" s="92"/>
      <c r="E22" s="92"/>
      <c r="F22" s="92"/>
      <c r="G22" s="92"/>
      <c r="H22" s="1" t="s">
        <v>40</v>
      </c>
      <c r="I22" s="1" t="s">
        <v>41</v>
      </c>
    </row>
    <row r="23" spans="1:13">
      <c r="A23" s="1" t="s">
        <v>13</v>
      </c>
      <c r="B23" s="94" t="s">
        <v>42</v>
      </c>
      <c r="C23" s="94"/>
      <c r="D23" s="94"/>
      <c r="E23" s="94"/>
      <c r="F23" s="94"/>
      <c r="G23" s="94"/>
      <c r="H23" s="4"/>
      <c r="I23" s="18">
        <f>H17</f>
        <v>1858</v>
      </c>
      <c r="L23" t="s">
        <v>43</v>
      </c>
    </row>
    <row r="24" spans="1:13">
      <c r="A24" s="1" t="s">
        <v>16</v>
      </c>
      <c r="B24" s="94" t="s">
        <v>44</v>
      </c>
      <c r="C24" s="94"/>
      <c r="D24" s="94"/>
      <c r="E24" s="94"/>
      <c r="F24" s="94"/>
      <c r="G24" s="94"/>
      <c r="H24" s="52">
        <v>0.3</v>
      </c>
      <c r="I24" s="18">
        <f>I23*H24</f>
        <v>557.4</v>
      </c>
      <c r="K24" s="58"/>
    </row>
    <row r="25" spans="1:13">
      <c r="A25" s="1" t="s">
        <v>19</v>
      </c>
      <c r="B25" s="94" t="s">
        <v>45</v>
      </c>
      <c r="C25" s="94"/>
      <c r="D25" s="94"/>
      <c r="E25" s="94"/>
      <c r="F25" s="94"/>
      <c r="G25" s="94"/>
      <c r="H25" s="52"/>
      <c r="I25" s="18">
        <f>H25*I23</f>
        <v>0</v>
      </c>
    </row>
    <row r="26" spans="1:13">
      <c r="A26" s="1" t="s">
        <v>21</v>
      </c>
      <c r="B26" s="94" t="s">
        <v>46</v>
      </c>
      <c r="C26" s="94"/>
      <c r="D26" s="94"/>
      <c r="E26" s="94"/>
      <c r="F26" s="94"/>
      <c r="G26" s="94"/>
      <c r="H26" s="52">
        <v>0.2</v>
      </c>
      <c r="I26" s="18">
        <f>(((I23+I24)/220)*H26*7*15)</f>
        <v>230.56090909090915</v>
      </c>
      <c r="K26" s="58">
        <f>(I23+I24)*8.33%*1.5</f>
        <v>301.80423000000002</v>
      </c>
    </row>
    <row r="27" spans="1:13">
      <c r="A27" s="1" t="s">
        <v>47</v>
      </c>
      <c r="B27" s="94" t="s">
        <v>48</v>
      </c>
      <c r="C27" s="94"/>
      <c r="D27" s="94"/>
      <c r="E27" s="94"/>
      <c r="F27" s="94"/>
      <c r="G27" s="94"/>
      <c r="H27" s="53"/>
      <c r="I27" s="18">
        <v>0</v>
      </c>
      <c r="K27">
        <f>TRUNC(((((I23+I24)/220)*1.2)*15),2)</f>
        <v>197.62</v>
      </c>
    </row>
    <row r="28" spans="1:13">
      <c r="A28" s="1" t="s">
        <v>49</v>
      </c>
      <c r="B28" s="94" t="s">
        <v>225</v>
      </c>
      <c r="C28" s="94"/>
      <c r="D28" s="94"/>
      <c r="E28" s="94"/>
      <c r="F28" s="94"/>
      <c r="G28" s="94"/>
      <c r="H28" s="52"/>
      <c r="I28" s="18">
        <v>0</v>
      </c>
      <c r="K28">
        <f>TRUNC(((((1508.33+452.5+199.65+65.27)/220)*1.6)*14),2)</f>
        <v>226.62</v>
      </c>
      <c r="L28">
        <f>(I26/18.76)*4</f>
        <v>49.16010854816826</v>
      </c>
      <c r="M28" s="58">
        <f>((I26+I27)/25.09)*5.35</f>
        <v>49.16304757418748</v>
      </c>
    </row>
    <row r="29" spans="1:13">
      <c r="A29" s="92" t="s">
        <v>50</v>
      </c>
      <c r="B29" s="92"/>
      <c r="C29" s="92"/>
      <c r="D29" s="92"/>
      <c r="E29" s="92"/>
      <c r="F29" s="92"/>
      <c r="G29" s="92"/>
      <c r="H29" s="92"/>
      <c r="I29" s="14">
        <f>TRUNC(SUM(I23:I28),2)</f>
        <v>2645.96</v>
      </c>
    </row>
    <row r="30" spans="1:13">
      <c r="A30" s="10"/>
      <c r="B30" s="10"/>
      <c r="C30" s="10"/>
      <c r="D30" s="10"/>
      <c r="E30" s="10"/>
      <c r="F30" s="10"/>
      <c r="G30" s="10"/>
      <c r="H30" s="10"/>
      <c r="I30" s="15"/>
    </row>
    <row r="31" spans="1:13">
      <c r="A31" s="93" t="s">
        <v>51</v>
      </c>
      <c r="B31" s="93"/>
      <c r="C31" s="93"/>
      <c r="D31" s="93"/>
      <c r="E31" s="93"/>
      <c r="F31" s="93"/>
      <c r="G31" s="93"/>
      <c r="H31" s="93"/>
      <c r="I31" s="93"/>
    </row>
    <row r="32" spans="1:13">
      <c r="A32" s="92" t="s">
        <v>52</v>
      </c>
      <c r="B32" s="92"/>
      <c r="C32" s="92"/>
      <c r="D32" s="92"/>
      <c r="E32" s="92"/>
      <c r="F32" s="92"/>
      <c r="G32" s="92"/>
      <c r="H32" s="1" t="s">
        <v>40</v>
      </c>
      <c r="I32" s="1" t="s">
        <v>41</v>
      </c>
    </row>
    <row r="33" spans="1:11">
      <c r="A33" s="1" t="s">
        <v>13</v>
      </c>
      <c r="B33" s="94" t="s">
        <v>53</v>
      </c>
      <c r="C33" s="94"/>
      <c r="D33" s="94"/>
      <c r="E33" s="94"/>
      <c r="F33" s="94"/>
      <c r="G33" s="94"/>
      <c r="H33" s="19">
        <v>8.3299999999999999E-2</v>
      </c>
      <c r="I33" s="18">
        <f>TRUNC($I$29*H33,2)</f>
        <v>220.4</v>
      </c>
    </row>
    <row r="34" spans="1:11">
      <c r="A34" s="1" t="s">
        <v>16</v>
      </c>
      <c r="B34" s="94" t="s">
        <v>54</v>
      </c>
      <c r="C34" s="94"/>
      <c r="D34" s="94"/>
      <c r="E34" s="94"/>
      <c r="F34" s="94"/>
      <c r="G34" s="94"/>
      <c r="H34" s="11">
        <v>3.0300000000000001E-2</v>
      </c>
      <c r="I34" s="18">
        <f>TRUNC(H34*I29,2)</f>
        <v>80.17</v>
      </c>
    </row>
    <row r="35" spans="1:11">
      <c r="A35" s="92" t="s">
        <v>55</v>
      </c>
      <c r="B35" s="92"/>
      <c r="C35" s="92"/>
      <c r="D35" s="92"/>
      <c r="E35" s="92"/>
      <c r="F35" s="92"/>
      <c r="G35" s="92"/>
      <c r="H35" s="12">
        <f>TRUNC(SUM(H33:H34),4)</f>
        <v>0.11360000000000001</v>
      </c>
      <c r="I35" s="14">
        <f>TRUNC(SUM(I33:I34),2)</f>
        <v>300.57</v>
      </c>
    </row>
    <row r="36" spans="1:11">
      <c r="A36" s="102"/>
      <c r="B36" s="103"/>
      <c r="C36" s="103"/>
      <c r="D36" s="103"/>
      <c r="E36" s="103"/>
      <c r="F36" s="103"/>
      <c r="G36" s="103"/>
      <c r="H36" s="103"/>
      <c r="I36" s="103"/>
      <c r="J36" s="16" t="s">
        <v>56</v>
      </c>
      <c r="K36" s="32">
        <f>I29+I35</f>
        <v>2946.53</v>
      </c>
    </row>
    <row r="37" spans="1:11">
      <c r="A37" s="92" t="s">
        <v>57</v>
      </c>
      <c r="B37" s="92"/>
      <c r="C37" s="92"/>
      <c r="D37" s="92"/>
      <c r="E37" s="92"/>
      <c r="F37" s="92"/>
      <c r="G37" s="92"/>
      <c r="H37" s="1" t="s">
        <v>40</v>
      </c>
      <c r="I37" s="1" t="s">
        <v>41</v>
      </c>
    </row>
    <row r="38" spans="1:11">
      <c r="A38" s="1" t="s">
        <v>13</v>
      </c>
      <c r="B38" s="94" t="s">
        <v>58</v>
      </c>
      <c r="C38" s="94"/>
      <c r="D38" s="94"/>
      <c r="E38" s="94"/>
      <c r="F38" s="94"/>
      <c r="G38" s="94"/>
      <c r="H38" s="19">
        <v>0.2</v>
      </c>
      <c r="I38" s="18">
        <f>H38*$K$36</f>
        <v>589.30600000000004</v>
      </c>
    </row>
    <row r="39" spans="1:11">
      <c r="A39" s="1" t="s">
        <v>16</v>
      </c>
      <c r="B39" s="94" t="s">
        <v>59</v>
      </c>
      <c r="C39" s="94"/>
      <c r="D39" s="94"/>
      <c r="E39" s="94"/>
      <c r="F39" s="94"/>
      <c r="G39" s="94"/>
      <c r="H39" s="19">
        <v>2.5000000000000001E-2</v>
      </c>
      <c r="I39" s="18">
        <f t="shared" ref="I39:I45" si="0">H39*$K$36</f>
        <v>73.663250000000005</v>
      </c>
    </row>
    <row r="40" spans="1:11">
      <c r="A40" s="1" t="s">
        <v>19</v>
      </c>
      <c r="B40" s="94" t="s">
        <v>60</v>
      </c>
      <c r="C40" s="94"/>
      <c r="D40" s="94"/>
      <c r="E40" s="94"/>
      <c r="F40" s="94"/>
      <c r="G40" s="94"/>
      <c r="H40" s="19">
        <v>0.03</v>
      </c>
      <c r="I40" s="18">
        <f t="shared" si="0"/>
        <v>88.395899999999997</v>
      </c>
    </row>
    <row r="41" spans="1:11">
      <c r="A41" s="1" t="s">
        <v>21</v>
      </c>
      <c r="B41" s="94" t="s">
        <v>61</v>
      </c>
      <c r="C41" s="94"/>
      <c r="D41" s="94"/>
      <c r="E41" s="94"/>
      <c r="F41" s="94"/>
      <c r="G41" s="94"/>
      <c r="H41" s="19">
        <v>1.4999999999999999E-2</v>
      </c>
      <c r="I41" s="18">
        <f t="shared" si="0"/>
        <v>44.197949999999999</v>
      </c>
    </row>
    <row r="42" spans="1:11">
      <c r="A42" s="1" t="s">
        <v>47</v>
      </c>
      <c r="B42" s="94" t="s">
        <v>62</v>
      </c>
      <c r="C42" s="94"/>
      <c r="D42" s="94"/>
      <c r="E42" s="94"/>
      <c r="F42" s="94"/>
      <c r="G42" s="94"/>
      <c r="H42" s="19">
        <v>0.01</v>
      </c>
      <c r="I42" s="18">
        <f t="shared" si="0"/>
        <v>29.465300000000003</v>
      </c>
    </row>
    <row r="43" spans="1:11">
      <c r="A43" s="1" t="s">
        <v>49</v>
      </c>
      <c r="B43" s="94" t="s">
        <v>63</v>
      </c>
      <c r="C43" s="94"/>
      <c r="D43" s="94"/>
      <c r="E43" s="94"/>
      <c r="F43" s="94"/>
      <c r="G43" s="94"/>
      <c r="H43" s="19">
        <v>6.0000000000000001E-3</v>
      </c>
      <c r="I43" s="18">
        <f t="shared" si="0"/>
        <v>17.679180000000002</v>
      </c>
    </row>
    <row r="44" spans="1:11">
      <c r="A44" s="1" t="s">
        <v>64</v>
      </c>
      <c r="B44" s="94" t="s">
        <v>65</v>
      </c>
      <c r="C44" s="94"/>
      <c r="D44" s="94"/>
      <c r="E44" s="94"/>
      <c r="F44" s="94"/>
      <c r="G44" s="94"/>
      <c r="H44" s="19">
        <v>2E-3</v>
      </c>
      <c r="I44" s="18">
        <f t="shared" si="0"/>
        <v>5.8930600000000002</v>
      </c>
    </row>
    <row r="45" spans="1:11">
      <c r="A45" s="1" t="s">
        <v>66</v>
      </c>
      <c r="B45" s="94" t="s">
        <v>67</v>
      </c>
      <c r="C45" s="94"/>
      <c r="D45" s="94"/>
      <c r="E45" s="94"/>
      <c r="F45" s="94"/>
      <c r="G45" s="94"/>
      <c r="H45" s="19">
        <v>0.08</v>
      </c>
      <c r="I45" s="18">
        <f t="shared" si="0"/>
        <v>235.72240000000002</v>
      </c>
    </row>
    <row r="46" spans="1:11">
      <c r="A46" s="92" t="s">
        <v>68</v>
      </c>
      <c r="B46" s="92"/>
      <c r="C46" s="92"/>
      <c r="D46" s="92"/>
      <c r="E46" s="92"/>
      <c r="F46" s="92"/>
      <c r="G46" s="92"/>
      <c r="H46" s="12">
        <f>SUM(H38:H45)</f>
        <v>0.36800000000000005</v>
      </c>
      <c r="I46" s="14">
        <f>TRUNC(SUM(I38:I45),2)</f>
        <v>1084.32</v>
      </c>
    </row>
    <row r="47" spans="1:11">
      <c r="A47" s="104"/>
      <c r="B47" s="104"/>
      <c r="C47" s="104"/>
      <c r="D47" s="104"/>
      <c r="E47" s="104"/>
      <c r="F47" s="104"/>
      <c r="G47" s="104"/>
      <c r="H47" s="104"/>
      <c r="I47" s="105"/>
    </row>
    <row r="48" spans="1:11">
      <c r="A48" s="92" t="s">
        <v>69</v>
      </c>
      <c r="B48" s="92"/>
      <c r="C48" s="92"/>
      <c r="D48" s="92"/>
      <c r="E48" s="92"/>
      <c r="F48" s="92"/>
      <c r="G48" s="92"/>
      <c r="H48" s="12"/>
      <c r="I48" s="1" t="s">
        <v>41</v>
      </c>
    </row>
    <row r="49" spans="1:9">
      <c r="A49" s="1" t="s">
        <v>13</v>
      </c>
      <c r="B49" s="106" t="s">
        <v>70</v>
      </c>
      <c r="C49" s="107"/>
      <c r="D49" s="107"/>
      <c r="E49" s="107"/>
      <c r="F49" s="107"/>
      <c r="G49" s="107"/>
      <c r="H49" s="2" t="s">
        <v>15</v>
      </c>
      <c r="I49" s="17">
        <v>0</v>
      </c>
    </row>
    <row r="50" spans="1:9">
      <c r="A50" s="1" t="s">
        <v>16</v>
      </c>
      <c r="B50" s="106" t="s">
        <v>71</v>
      </c>
      <c r="C50" s="107"/>
      <c r="D50" s="107"/>
      <c r="E50" s="107"/>
      <c r="F50" s="107"/>
      <c r="G50" s="107"/>
      <c r="H50" s="2" t="s">
        <v>15</v>
      </c>
      <c r="I50" s="17">
        <f>27.5*15*0.8</f>
        <v>330</v>
      </c>
    </row>
    <row r="51" spans="1:9">
      <c r="A51" s="1" t="s">
        <v>19</v>
      </c>
      <c r="B51" s="107" t="s">
        <v>72</v>
      </c>
      <c r="C51" s="107"/>
      <c r="D51" s="107"/>
      <c r="E51" s="107"/>
      <c r="F51" s="107"/>
      <c r="G51" s="107"/>
      <c r="H51" s="2" t="s">
        <v>15</v>
      </c>
      <c r="I51" s="17">
        <v>0</v>
      </c>
    </row>
    <row r="52" spans="1:9">
      <c r="A52" s="1" t="s">
        <v>21</v>
      </c>
      <c r="B52" s="108" t="s">
        <v>223</v>
      </c>
      <c r="C52" s="109"/>
      <c r="D52" s="109"/>
      <c r="E52" s="109"/>
      <c r="F52" s="109"/>
      <c r="G52" s="110"/>
      <c r="H52" s="2" t="s">
        <v>15</v>
      </c>
      <c r="I52" s="17">
        <v>20</v>
      </c>
    </row>
    <row r="53" spans="1:9">
      <c r="A53" s="1" t="s">
        <v>47</v>
      </c>
      <c r="B53" s="108" t="s">
        <v>74</v>
      </c>
      <c r="C53" s="109"/>
      <c r="D53" s="109"/>
      <c r="E53" s="109"/>
      <c r="F53" s="109"/>
      <c r="G53" s="110"/>
      <c r="H53" s="2" t="s">
        <v>15</v>
      </c>
      <c r="I53" s="17">
        <v>7.67</v>
      </c>
    </row>
    <row r="54" spans="1:9">
      <c r="A54" s="1" t="s">
        <v>64</v>
      </c>
      <c r="B54" s="107" t="s">
        <v>75</v>
      </c>
      <c r="C54" s="107"/>
      <c r="D54" s="107"/>
      <c r="E54" s="107"/>
      <c r="F54" s="107"/>
      <c r="G54" s="107"/>
      <c r="H54" s="2" t="s">
        <v>15</v>
      </c>
      <c r="I54" s="17">
        <v>11.58</v>
      </c>
    </row>
    <row r="55" spans="1:9">
      <c r="A55" s="92" t="s">
        <v>76</v>
      </c>
      <c r="B55" s="92"/>
      <c r="C55" s="92"/>
      <c r="D55" s="92"/>
      <c r="E55" s="92"/>
      <c r="F55" s="92"/>
      <c r="G55" s="92"/>
      <c r="H55" s="92"/>
      <c r="I55" s="14">
        <f>SUM(I49:I54)</f>
        <v>369.25</v>
      </c>
    </row>
    <row r="56" spans="1:9">
      <c r="A56" s="104"/>
      <c r="B56" s="104"/>
      <c r="C56" s="104"/>
      <c r="D56" s="104"/>
      <c r="E56" s="104"/>
      <c r="F56" s="104"/>
      <c r="G56" s="104"/>
      <c r="H56" s="104"/>
      <c r="I56" s="105"/>
    </row>
    <row r="57" spans="1:9">
      <c r="A57" s="111" t="s">
        <v>77</v>
      </c>
      <c r="B57" s="111"/>
      <c r="C57" s="111"/>
      <c r="D57" s="111"/>
      <c r="E57" s="111"/>
      <c r="F57" s="111"/>
      <c r="G57" s="111"/>
      <c r="H57" s="111"/>
      <c r="I57" s="111"/>
    </row>
    <row r="58" spans="1:9">
      <c r="A58" s="92" t="s">
        <v>78</v>
      </c>
      <c r="B58" s="92"/>
      <c r="C58" s="92"/>
      <c r="D58" s="92"/>
      <c r="E58" s="92"/>
      <c r="F58" s="92"/>
      <c r="G58" s="92"/>
      <c r="H58" s="92"/>
      <c r="I58" s="1" t="s">
        <v>41</v>
      </c>
    </row>
    <row r="59" spans="1:9">
      <c r="A59" s="1" t="s">
        <v>79</v>
      </c>
      <c r="B59" s="95" t="s">
        <v>80</v>
      </c>
      <c r="C59" s="95"/>
      <c r="D59" s="95"/>
      <c r="E59" s="95"/>
      <c r="F59" s="95"/>
      <c r="G59" s="95"/>
      <c r="H59" s="95"/>
      <c r="I59" s="18">
        <f>I35</f>
        <v>300.57</v>
      </c>
    </row>
    <row r="60" spans="1:9">
      <c r="A60" s="1" t="s">
        <v>81</v>
      </c>
      <c r="B60" s="95" t="s">
        <v>82</v>
      </c>
      <c r="C60" s="95"/>
      <c r="D60" s="95"/>
      <c r="E60" s="95"/>
      <c r="F60" s="95"/>
      <c r="G60" s="95"/>
      <c r="H60" s="95"/>
      <c r="I60" s="18">
        <f>I46</f>
        <v>1084.32</v>
      </c>
    </row>
    <row r="61" spans="1:9">
      <c r="A61" s="1" t="s">
        <v>83</v>
      </c>
      <c r="B61" s="95" t="s">
        <v>84</v>
      </c>
      <c r="C61" s="95"/>
      <c r="D61" s="95"/>
      <c r="E61" s="95"/>
      <c r="F61" s="95"/>
      <c r="G61" s="95"/>
      <c r="H61" s="95"/>
      <c r="I61" s="18">
        <f>I55</f>
        <v>369.25</v>
      </c>
    </row>
    <row r="62" spans="1:9">
      <c r="A62" s="92" t="s">
        <v>85</v>
      </c>
      <c r="B62" s="92"/>
      <c r="C62" s="92"/>
      <c r="D62" s="92"/>
      <c r="E62" s="92"/>
      <c r="F62" s="92"/>
      <c r="G62" s="92"/>
      <c r="H62" s="92"/>
      <c r="I62" s="14">
        <f>TRUNC(SUM(I59:I61),2)</f>
        <v>1754.14</v>
      </c>
    </row>
    <row r="63" spans="1:9">
      <c r="A63" s="112"/>
      <c r="B63" s="113"/>
      <c r="C63" s="113"/>
      <c r="D63" s="113"/>
      <c r="E63" s="113"/>
      <c r="F63" s="113"/>
      <c r="G63" s="113"/>
      <c r="H63" s="113"/>
      <c r="I63" s="113"/>
    </row>
    <row r="64" spans="1:9">
      <c r="A64" s="93" t="s">
        <v>86</v>
      </c>
      <c r="B64" s="93"/>
      <c r="C64" s="93"/>
      <c r="D64" s="93"/>
      <c r="E64" s="93"/>
      <c r="F64" s="93"/>
      <c r="G64" s="93"/>
      <c r="H64" s="93"/>
      <c r="I64" s="93"/>
    </row>
    <row r="65" spans="1:11">
      <c r="A65" s="1">
        <v>3</v>
      </c>
      <c r="B65" s="92" t="s">
        <v>87</v>
      </c>
      <c r="C65" s="92"/>
      <c r="D65" s="92"/>
      <c r="E65" s="92"/>
      <c r="F65" s="92"/>
      <c r="G65" s="92"/>
      <c r="H65" s="1" t="s">
        <v>40</v>
      </c>
      <c r="I65" s="1" t="s">
        <v>41</v>
      </c>
    </row>
    <row r="66" spans="1:11">
      <c r="A66" s="1" t="s">
        <v>13</v>
      </c>
      <c r="B66" s="94" t="s">
        <v>88</v>
      </c>
      <c r="C66" s="94"/>
      <c r="D66" s="94"/>
      <c r="E66" s="94"/>
      <c r="F66" s="94"/>
      <c r="G66" s="94"/>
      <c r="H66" s="19">
        <v>4.5999999999999999E-3</v>
      </c>
      <c r="I66" s="18">
        <f>($I$29+$I$35+$I$45+$I$55)*H66</f>
        <v>16.33691104</v>
      </c>
    </row>
    <row r="67" spans="1:11">
      <c r="A67" s="1" t="s">
        <v>16</v>
      </c>
      <c r="B67" s="94" t="s">
        <v>89</v>
      </c>
      <c r="C67" s="94"/>
      <c r="D67" s="94"/>
      <c r="E67" s="94"/>
      <c r="F67" s="94"/>
      <c r="G67" s="94"/>
      <c r="H67" s="19">
        <v>3.3599999999999998E-4</v>
      </c>
      <c r="I67" s="18">
        <f>H67*($I$29+$I$35)</f>
        <v>0.99003408000000004</v>
      </c>
      <c r="K67" s="67"/>
    </row>
    <row r="68" spans="1:11">
      <c r="A68" s="1" t="s">
        <v>19</v>
      </c>
      <c r="B68" s="94" t="s">
        <v>90</v>
      </c>
      <c r="C68" s="94"/>
      <c r="D68" s="94"/>
      <c r="E68" s="94"/>
      <c r="F68" s="94"/>
      <c r="G68" s="94"/>
      <c r="H68" s="19">
        <v>1.6000000000000001E-3</v>
      </c>
      <c r="I68" s="18">
        <f>($I$29+$I$35)*H68</f>
        <v>4.7144480000000009</v>
      </c>
    </row>
    <row r="69" spans="1:11">
      <c r="A69" s="1" t="s">
        <v>21</v>
      </c>
      <c r="B69" s="94" t="s">
        <v>91</v>
      </c>
      <c r="C69" s="94"/>
      <c r="D69" s="94"/>
      <c r="E69" s="94"/>
      <c r="F69" s="94"/>
      <c r="G69" s="94"/>
      <c r="H69" s="19">
        <v>1.9400000000000001E-2</v>
      </c>
      <c r="I69" s="18">
        <f>($I$29+$I$62)*H69</f>
        <v>85.361940000000004</v>
      </c>
    </row>
    <row r="70" spans="1:11">
      <c r="A70" s="1" t="s">
        <v>47</v>
      </c>
      <c r="B70" s="114" t="s">
        <v>92</v>
      </c>
      <c r="C70" s="114"/>
      <c r="D70" s="114"/>
      <c r="E70" s="114"/>
      <c r="F70" s="114"/>
      <c r="G70" s="114"/>
      <c r="H70" s="75">
        <f>H46*H69</f>
        <v>7.1392000000000009E-3</v>
      </c>
      <c r="I70" s="76">
        <f>($I$29+$I$35)*H70</f>
        <v>21.035866976000005</v>
      </c>
    </row>
    <row r="71" spans="1:11">
      <c r="A71" s="1" t="s">
        <v>49</v>
      </c>
      <c r="B71" s="94" t="s">
        <v>93</v>
      </c>
      <c r="C71" s="94"/>
      <c r="D71" s="94"/>
      <c r="E71" s="94"/>
      <c r="F71" s="94"/>
      <c r="G71" s="94"/>
      <c r="H71" s="19">
        <v>3.8399999999999997E-2</v>
      </c>
      <c r="I71" s="18">
        <f>($I$29+$I$35)*H71</f>
        <v>113.14675199999999</v>
      </c>
    </row>
    <row r="72" spans="1:11">
      <c r="A72" s="92" t="s">
        <v>94</v>
      </c>
      <c r="B72" s="92"/>
      <c r="C72" s="92"/>
      <c r="D72" s="92"/>
      <c r="E72" s="92"/>
      <c r="F72" s="92"/>
      <c r="G72" s="92"/>
      <c r="H72" s="12">
        <f>TRUNC(SUM(H66:H71),4)</f>
        <v>7.1400000000000005E-2</v>
      </c>
      <c r="I72" s="14">
        <f>TRUNC(SUM(I66:I71),2)</f>
        <v>241.58</v>
      </c>
    </row>
    <row r="73" spans="1:11">
      <c r="A73" s="115"/>
      <c r="B73" s="116"/>
      <c r="C73" s="116"/>
      <c r="D73" s="116"/>
      <c r="E73" s="116"/>
      <c r="F73" s="116"/>
      <c r="G73" s="116"/>
      <c r="H73" s="116"/>
      <c r="I73" s="116"/>
    </row>
    <row r="74" spans="1:11">
      <c r="A74" s="93" t="s">
        <v>95</v>
      </c>
      <c r="B74" s="93"/>
      <c r="C74" s="93"/>
      <c r="D74" s="93"/>
      <c r="E74" s="93"/>
      <c r="F74" s="93"/>
      <c r="G74" s="93"/>
      <c r="H74" s="93"/>
      <c r="I74" s="93"/>
      <c r="J74" s="16" t="s">
        <v>96</v>
      </c>
      <c r="K74" s="32">
        <f>I29+I62+I72</f>
        <v>4641.68</v>
      </c>
    </row>
    <row r="75" spans="1:11">
      <c r="A75" s="92" t="s">
        <v>97</v>
      </c>
      <c r="B75" s="92"/>
      <c r="C75" s="92"/>
      <c r="D75" s="92"/>
      <c r="E75" s="92"/>
      <c r="F75" s="92"/>
      <c r="G75" s="92"/>
      <c r="H75" s="1" t="s">
        <v>40</v>
      </c>
      <c r="I75" s="1" t="s">
        <v>41</v>
      </c>
    </row>
    <row r="76" spans="1:11">
      <c r="A76" s="1" t="s">
        <v>13</v>
      </c>
      <c r="B76" s="94" t="s">
        <v>98</v>
      </c>
      <c r="C76" s="94"/>
      <c r="D76" s="94"/>
      <c r="E76" s="94"/>
      <c r="F76" s="94"/>
      <c r="G76" s="94"/>
      <c r="H76" s="19">
        <v>8.3299999999999999E-2</v>
      </c>
      <c r="I76" s="18">
        <f>H76*$K$74</f>
        <v>386.65194400000001</v>
      </c>
    </row>
    <row r="77" spans="1:11">
      <c r="A77" s="1" t="s">
        <v>16</v>
      </c>
      <c r="B77" s="94" t="s">
        <v>99</v>
      </c>
      <c r="C77" s="94"/>
      <c r="D77" s="94"/>
      <c r="E77" s="94"/>
      <c r="F77" s="94"/>
      <c r="G77" s="94"/>
      <c r="H77" s="19">
        <v>2.8E-3</v>
      </c>
      <c r="I77" s="18">
        <f t="shared" ref="I77:I81" si="1">H77*$K$74</f>
        <v>12.996704000000001</v>
      </c>
    </row>
    <row r="78" spans="1:11">
      <c r="A78" s="1" t="s">
        <v>19</v>
      </c>
      <c r="B78" s="94" t="s">
        <v>100</v>
      </c>
      <c r="C78" s="94"/>
      <c r="D78" s="94"/>
      <c r="E78" s="94"/>
      <c r="F78" s="94"/>
      <c r="G78" s="94"/>
      <c r="H78" s="19">
        <v>8.0000000000000004E-4</v>
      </c>
      <c r="I78" s="18">
        <f t="shared" si="1"/>
        <v>3.7133440000000002</v>
      </c>
    </row>
    <row r="79" spans="1:11">
      <c r="A79" s="1" t="s">
        <v>21</v>
      </c>
      <c r="B79" s="94" t="s">
        <v>101</v>
      </c>
      <c r="C79" s="94"/>
      <c r="D79" s="94"/>
      <c r="E79" s="94"/>
      <c r="F79" s="94"/>
      <c r="G79" s="94"/>
      <c r="H79" s="19">
        <v>2.7000000000000001E-3</v>
      </c>
      <c r="I79" s="18">
        <f t="shared" si="1"/>
        <v>12.532536000000002</v>
      </c>
    </row>
    <row r="80" spans="1:11">
      <c r="A80" s="1" t="s">
        <v>47</v>
      </c>
      <c r="B80" s="94" t="s">
        <v>102</v>
      </c>
      <c r="C80" s="94"/>
      <c r="D80" s="94"/>
      <c r="E80" s="94"/>
      <c r="F80" s="94"/>
      <c r="G80" s="94"/>
      <c r="H80" s="19">
        <v>6.9999999999999999E-4</v>
      </c>
      <c r="I80" s="18">
        <f t="shared" si="1"/>
        <v>3.2491760000000003</v>
      </c>
      <c r="K80" s="58"/>
    </row>
    <row r="81" spans="1:11">
      <c r="A81" s="1" t="s">
        <v>49</v>
      </c>
      <c r="B81" s="94" t="s">
        <v>103</v>
      </c>
      <c r="C81" s="94"/>
      <c r="D81" s="94"/>
      <c r="E81" s="94"/>
      <c r="F81" s="94"/>
      <c r="G81" s="94"/>
      <c r="H81" s="19">
        <v>1.66E-2</v>
      </c>
      <c r="I81" s="18">
        <f t="shared" si="1"/>
        <v>77.051888000000005</v>
      </c>
      <c r="K81" s="59"/>
    </row>
    <row r="82" spans="1:11">
      <c r="A82" s="92" t="s">
        <v>104</v>
      </c>
      <c r="B82" s="92"/>
      <c r="C82" s="92"/>
      <c r="D82" s="92"/>
      <c r="E82" s="92"/>
      <c r="F82" s="92"/>
      <c r="G82" s="92"/>
      <c r="H82" s="12">
        <f>TRUNC(SUM(H76:H81),4)</f>
        <v>0.1069</v>
      </c>
      <c r="I82" s="14">
        <f>TRUNC(SUM(I76:I81),2)</f>
        <v>496.19</v>
      </c>
      <c r="K82" s="59"/>
    </row>
    <row r="83" spans="1:11">
      <c r="A83" s="117"/>
      <c r="B83" s="118"/>
      <c r="C83" s="118"/>
      <c r="D83" s="118"/>
      <c r="E83" s="118"/>
      <c r="F83" s="118"/>
      <c r="G83" s="118"/>
      <c r="H83" s="118"/>
      <c r="I83" s="118"/>
    </row>
    <row r="84" spans="1:11">
      <c r="A84" s="92" t="s">
        <v>105</v>
      </c>
      <c r="B84" s="92"/>
      <c r="C84" s="92"/>
      <c r="D84" s="92"/>
      <c r="E84" s="92"/>
      <c r="F84" s="92"/>
      <c r="G84" s="92"/>
      <c r="H84" s="1" t="s">
        <v>40</v>
      </c>
      <c r="I84" s="1" t="s">
        <v>41</v>
      </c>
    </row>
    <row r="85" spans="1:11">
      <c r="A85" s="1" t="s">
        <v>13</v>
      </c>
      <c r="B85" s="94" t="s">
        <v>106</v>
      </c>
      <c r="C85" s="94"/>
      <c r="D85" s="94"/>
      <c r="E85" s="94"/>
      <c r="F85" s="94"/>
      <c r="G85" s="94"/>
      <c r="H85" s="19">
        <v>0.5</v>
      </c>
      <c r="I85" s="68">
        <f>((((I23+I24)/220))*1.5*1.2)*15</f>
        <v>296.43545454545449</v>
      </c>
    </row>
    <row r="86" spans="1:11">
      <c r="A86" s="92" t="s">
        <v>107</v>
      </c>
      <c r="B86" s="92"/>
      <c r="C86" s="92"/>
      <c r="D86" s="92"/>
      <c r="E86" s="92"/>
      <c r="F86" s="92"/>
      <c r="G86" s="92"/>
      <c r="H86" s="12">
        <f>TRUNC(SUM(H85),4)</f>
        <v>0.5</v>
      </c>
      <c r="I86" s="14">
        <f>TRUNC(SUM(I85),2)</f>
        <v>296.43</v>
      </c>
    </row>
    <row r="87" spans="1:11">
      <c r="A87" s="119"/>
      <c r="B87" s="120"/>
      <c r="C87" s="120"/>
      <c r="D87" s="120"/>
      <c r="E87" s="120"/>
      <c r="F87" s="120"/>
      <c r="G87" s="120"/>
      <c r="H87" s="120"/>
      <c r="I87" s="120"/>
    </row>
    <row r="88" spans="1:11">
      <c r="A88" s="111" t="s">
        <v>108</v>
      </c>
      <c r="B88" s="111"/>
      <c r="C88" s="111"/>
      <c r="D88" s="111"/>
      <c r="E88" s="111"/>
      <c r="F88" s="111"/>
      <c r="G88" s="111"/>
      <c r="H88" s="111"/>
      <c r="I88" s="111"/>
    </row>
    <row r="89" spans="1:11">
      <c r="A89" s="92" t="s">
        <v>109</v>
      </c>
      <c r="B89" s="92"/>
      <c r="C89" s="92"/>
      <c r="D89" s="92"/>
      <c r="E89" s="92"/>
      <c r="F89" s="92"/>
      <c r="G89" s="92"/>
      <c r="H89" s="92"/>
      <c r="I89" s="1" t="s">
        <v>41</v>
      </c>
    </row>
    <row r="90" spans="1:11">
      <c r="A90" s="1" t="s">
        <v>110</v>
      </c>
      <c r="B90" s="95" t="s">
        <v>111</v>
      </c>
      <c r="C90" s="95"/>
      <c r="D90" s="95"/>
      <c r="E90" s="95"/>
      <c r="F90" s="95"/>
      <c r="G90" s="95"/>
      <c r="H90" s="95"/>
      <c r="I90" s="18">
        <f>I82</f>
        <v>496.19</v>
      </c>
    </row>
    <row r="91" spans="1:11">
      <c r="A91" s="1" t="s">
        <v>112</v>
      </c>
      <c r="B91" s="95" t="s">
        <v>113</v>
      </c>
      <c r="C91" s="95"/>
      <c r="D91" s="95"/>
      <c r="E91" s="95"/>
      <c r="F91" s="95"/>
      <c r="G91" s="95"/>
      <c r="H91" s="95"/>
      <c r="I91" s="18">
        <f>I86</f>
        <v>296.43</v>
      </c>
    </row>
    <row r="92" spans="1:11">
      <c r="A92" s="92" t="s">
        <v>114</v>
      </c>
      <c r="B92" s="92"/>
      <c r="C92" s="92"/>
      <c r="D92" s="92"/>
      <c r="E92" s="92"/>
      <c r="F92" s="92"/>
      <c r="G92" s="92"/>
      <c r="H92" s="92"/>
      <c r="I92" s="14">
        <f>TRUNC(SUM(I90:I91),2)</f>
        <v>792.62</v>
      </c>
    </row>
    <row r="93" spans="1:11">
      <c r="A93" s="112"/>
      <c r="B93" s="113"/>
      <c r="C93" s="113"/>
      <c r="D93" s="113"/>
      <c r="E93" s="113"/>
      <c r="F93" s="113"/>
      <c r="G93" s="113"/>
      <c r="H93" s="113"/>
      <c r="I93" s="113"/>
    </row>
    <row r="94" spans="1:11">
      <c r="A94" s="93" t="s">
        <v>115</v>
      </c>
      <c r="B94" s="93"/>
      <c r="C94" s="93"/>
      <c r="D94" s="93"/>
      <c r="E94" s="93"/>
      <c r="F94" s="93"/>
      <c r="G94" s="93"/>
      <c r="H94" s="93"/>
      <c r="I94" s="93"/>
    </row>
    <row r="95" spans="1:11">
      <c r="A95" s="1">
        <v>5</v>
      </c>
      <c r="B95" s="92" t="s">
        <v>116</v>
      </c>
      <c r="C95" s="92"/>
      <c r="D95" s="92"/>
      <c r="E95" s="92"/>
      <c r="F95" s="92"/>
      <c r="G95" s="92"/>
      <c r="H95" s="1"/>
      <c r="I95" s="1" t="s">
        <v>41</v>
      </c>
    </row>
    <row r="96" spans="1:11">
      <c r="A96" s="1" t="s">
        <v>13</v>
      </c>
      <c r="B96" s="106" t="s">
        <v>117</v>
      </c>
      <c r="C96" s="107"/>
      <c r="D96" s="107"/>
      <c r="E96" s="107"/>
      <c r="F96" s="107"/>
      <c r="G96" s="107"/>
      <c r="H96" s="2" t="s">
        <v>15</v>
      </c>
      <c r="I96" s="18">
        <f>'Memórias de Cálculo'!D14</f>
        <v>82.545833333333348</v>
      </c>
    </row>
    <row r="97" spans="1:9">
      <c r="A97" s="1" t="s">
        <v>16</v>
      </c>
      <c r="B97" s="107" t="s">
        <v>118</v>
      </c>
      <c r="C97" s="107"/>
      <c r="D97" s="107"/>
      <c r="E97" s="107"/>
      <c r="F97" s="107"/>
      <c r="G97" s="107"/>
      <c r="H97" s="2" t="s">
        <v>15</v>
      </c>
      <c r="I97" s="18">
        <f>'Memórias de Cálculo'!D40</f>
        <v>41.927520833333332</v>
      </c>
    </row>
    <row r="98" spans="1:9">
      <c r="A98" s="13" t="s">
        <v>19</v>
      </c>
      <c r="B98" s="107" t="s">
        <v>119</v>
      </c>
      <c r="C98" s="107"/>
      <c r="D98" s="107"/>
      <c r="E98" s="107"/>
      <c r="F98" s="107"/>
      <c r="G98" s="107"/>
      <c r="H98" s="2" t="s">
        <v>15</v>
      </c>
      <c r="I98" s="18" t="s">
        <v>15</v>
      </c>
    </row>
    <row r="99" spans="1:9">
      <c r="A99" s="13" t="s">
        <v>21</v>
      </c>
      <c r="B99" s="107" t="s">
        <v>120</v>
      </c>
      <c r="C99" s="107"/>
      <c r="D99" s="107"/>
      <c r="E99" s="107"/>
      <c r="F99" s="107"/>
      <c r="G99" s="107"/>
      <c r="H99" s="2" t="s">
        <v>15</v>
      </c>
      <c r="I99" s="18" t="s">
        <v>15</v>
      </c>
    </row>
    <row r="100" spans="1:9">
      <c r="A100" s="92" t="s">
        <v>121</v>
      </c>
      <c r="B100" s="92"/>
      <c r="C100" s="92"/>
      <c r="D100" s="92"/>
      <c r="E100" s="92"/>
      <c r="F100" s="92"/>
      <c r="G100" s="92"/>
      <c r="H100" s="12" t="s">
        <v>15</v>
      </c>
      <c r="I100" s="14">
        <f>TRUNC(SUM(I96:I99),2)</f>
        <v>124.47</v>
      </c>
    </row>
    <row r="101" spans="1:9">
      <c r="A101" s="112"/>
      <c r="B101" s="113"/>
      <c r="C101" s="113"/>
      <c r="D101" s="113"/>
      <c r="E101" s="113"/>
      <c r="F101" s="113"/>
      <c r="G101" s="113"/>
      <c r="H101" s="113"/>
      <c r="I101" s="113"/>
    </row>
    <row r="102" spans="1:9">
      <c r="A102" s="93" t="s">
        <v>122</v>
      </c>
      <c r="B102" s="93"/>
      <c r="C102" s="93"/>
      <c r="D102" s="93"/>
      <c r="E102" s="93"/>
      <c r="F102" s="93"/>
      <c r="G102" s="93"/>
      <c r="H102" s="93"/>
      <c r="I102" s="93"/>
    </row>
    <row r="103" spans="1:9">
      <c r="A103" s="1">
        <v>6</v>
      </c>
      <c r="B103" s="92" t="s">
        <v>123</v>
      </c>
      <c r="C103" s="92"/>
      <c r="D103" s="92"/>
      <c r="E103" s="92"/>
      <c r="F103" s="92"/>
      <c r="G103" s="92"/>
      <c r="H103" s="1" t="s">
        <v>40</v>
      </c>
      <c r="I103" s="1" t="s">
        <v>41</v>
      </c>
    </row>
    <row r="104" spans="1:9">
      <c r="A104" s="1" t="s">
        <v>13</v>
      </c>
      <c r="B104" s="94" t="s">
        <v>124</v>
      </c>
      <c r="C104" s="94"/>
      <c r="D104" s="94"/>
      <c r="E104" s="94"/>
      <c r="F104" s="94"/>
      <c r="G104" s="94"/>
      <c r="H104" s="70">
        <v>7.0000000000000007E-2</v>
      </c>
      <c r="I104" s="68">
        <f>TRUNC(H104*I128,2)</f>
        <v>389.11</v>
      </c>
    </row>
    <row r="105" spans="1:9">
      <c r="A105" s="1" t="s">
        <v>16</v>
      </c>
      <c r="B105" s="94" t="s">
        <v>125</v>
      </c>
      <c r="C105" s="94"/>
      <c r="D105" s="94"/>
      <c r="E105" s="94"/>
      <c r="F105" s="94"/>
      <c r="G105" s="94"/>
      <c r="H105" s="55">
        <v>6.7900000000000002E-2</v>
      </c>
      <c r="I105" s="18">
        <f>TRUNC(H105*(I104+I128),2)</f>
        <v>403.86</v>
      </c>
    </row>
    <row r="106" spans="1:9">
      <c r="A106" s="1" t="s">
        <v>19</v>
      </c>
      <c r="B106" s="121" t="s">
        <v>126</v>
      </c>
      <c r="C106" s="121"/>
      <c r="D106" s="121"/>
      <c r="E106" s="121"/>
      <c r="F106" s="121"/>
      <c r="G106" s="121"/>
      <c r="H106" s="52"/>
      <c r="I106" s="28"/>
    </row>
    <row r="107" spans="1:9">
      <c r="A107" s="1" t="s">
        <v>127</v>
      </c>
      <c r="B107" s="94" t="s">
        <v>128</v>
      </c>
      <c r="C107" s="94"/>
      <c r="D107" s="94"/>
      <c r="E107" s="94"/>
      <c r="F107" s="94"/>
      <c r="G107" s="94"/>
      <c r="H107" s="69">
        <v>6.4999999999999997E-3</v>
      </c>
      <c r="I107" s="18">
        <f>H107*I117</f>
        <v>45.195734999999992</v>
      </c>
    </row>
    <row r="108" spans="1:9">
      <c r="A108" s="1" t="s">
        <v>129</v>
      </c>
      <c r="B108" s="94" t="s">
        <v>130</v>
      </c>
      <c r="C108" s="94"/>
      <c r="D108" s="94"/>
      <c r="E108" s="94"/>
      <c r="F108" s="94"/>
      <c r="G108" s="94"/>
      <c r="H108" s="69">
        <v>0.03</v>
      </c>
      <c r="I108" s="18">
        <f>H108*I117</f>
        <v>208.59569999999999</v>
      </c>
    </row>
    <row r="109" spans="1:9">
      <c r="A109" s="1" t="s">
        <v>131</v>
      </c>
      <c r="B109" s="94" t="s">
        <v>132</v>
      </c>
      <c r="C109" s="94"/>
      <c r="D109" s="94"/>
      <c r="E109" s="94"/>
      <c r="F109" s="94"/>
      <c r="G109" s="94"/>
      <c r="H109" s="57">
        <v>0.05</v>
      </c>
      <c r="I109" s="18">
        <f>H109*I117</f>
        <v>347.65949999999998</v>
      </c>
    </row>
    <row r="110" spans="1:9">
      <c r="A110" s="92" t="s">
        <v>133</v>
      </c>
      <c r="B110" s="92"/>
      <c r="C110" s="92"/>
      <c r="D110" s="92"/>
      <c r="E110" s="92"/>
      <c r="F110" s="92"/>
      <c r="G110" s="92"/>
      <c r="H110" s="56"/>
      <c r="I110" s="14">
        <f>TRUNC(SUM(I104:I109),2)</f>
        <v>1394.42</v>
      </c>
    </row>
    <row r="111" spans="1:9">
      <c r="A111" s="9"/>
      <c r="B111" s="122"/>
      <c r="C111" s="122"/>
      <c r="D111" s="122"/>
      <c r="E111" s="122"/>
      <c r="F111" s="122"/>
      <c r="G111" s="122"/>
      <c r="H111" s="122"/>
      <c r="I111" s="122"/>
    </row>
    <row r="112" spans="1:9">
      <c r="A112" s="20" t="s">
        <v>134</v>
      </c>
      <c r="B112" s="123" t="s">
        <v>135</v>
      </c>
      <c r="C112" s="123"/>
      <c r="D112" s="123"/>
      <c r="E112" s="123"/>
      <c r="F112" s="123"/>
      <c r="G112" s="123"/>
      <c r="H112" s="21">
        <f>TRUNC(H107+H108+H109,4)</f>
        <v>8.6499999999999994E-2</v>
      </c>
      <c r="I112" s="29"/>
    </row>
    <row r="113" spans="1:11">
      <c r="A113" s="22"/>
      <c r="B113" s="124">
        <v>100</v>
      </c>
      <c r="C113" s="124"/>
      <c r="D113" s="124"/>
      <c r="E113" s="124"/>
      <c r="F113" s="124"/>
      <c r="G113" s="124"/>
      <c r="H113" s="24"/>
      <c r="I113" s="30"/>
    </row>
    <row r="114" spans="1:11">
      <c r="A114" s="25"/>
      <c r="B114" s="23"/>
      <c r="C114" s="23"/>
      <c r="D114" s="23"/>
      <c r="E114" s="23"/>
      <c r="F114" s="23"/>
      <c r="G114" s="23"/>
      <c r="H114" s="24"/>
      <c r="I114" s="30"/>
    </row>
    <row r="115" spans="1:11">
      <c r="A115" s="22" t="s">
        <v>136</v>
      </c>
      <c r="B115" s="124" t="s">
        <v>137</v>
      </c>
      <c r="C115" s="124"/>
      <c r="D115" s="124"/>
      <c r="E115" s="124"/>
      <c r="F115" s="124"/>
      <c r="G115" s="124"/>
      <c r="H115" s="24"/>
      <c r="I115" s="30">
        <f>TRUNC(I128+I104+I105,2)</f>
        <v>6351.74</v>
      </c>
    </row>
    <row r="116" spans="1:11">
      <c r="A116" s="22"/>
      <c r="B116" s="23"/>
      <c r="C116" s="23"/>
      <c r="D116" s="23"/>
      <c r="E116" s="23"/>
      <c r="F116" s="23"/>
      <c r="G116" s="23"/>
      <c r="H116" s="24"/>
      <c r="I116" s="30"/>
    </row>
    <row r="117" spans="1:11">
      <c r="A117" s="22" t="s">
        <v>138</v>
      </c>
      <c r="B117" s="124" t="s">
        <v>139</v>
      </c>
      <c r="C117" s="124"/>
      <c r="D117" s="124"/>
      <c r="E117" s="124"/>
      <c r="F117" s="124"/>
      <c r="G117" s="124"/>
      <c r="H117" s="24"/>
      <c r="I117" s="30">
        <f>TRUNC(I115/(1-H112),2)</f>
        <v>6953.19</v>
      </c>
    </row>
    <row r="118" spans="1:11">
      <c r="A118" s="22"/>
      <c r="B118" s="23"/>
      <c r="C118" s="23"/>
      <c r="D118" s="23"/>
      <c r="E118" s="23"/>
      <c r="F118" s="23"/>
      <c r="G118" s="23"/>
      <c r="H118" s="24"/>
      <c r="I118" s="30"/>
    </row>
    <row r="119" spans="1:11">
      <c r="A119" s="26"/>
      <c r="B119" s="125" t="s">
        <v>140</v>
      </c>
      <c r="C119" s="125"/>
      <c r="D119" s="125"/>
      <c r="E119" s="125"/>
      <c r="F119" s="125"/>
      <c r="G119" s="125"/>
      <c r="H119" s="27"/>
      <c r="I119" s="31">
        <f>TRUNC(I117-I115,2)</f>
        <v>601.45000000000005</v>
      </c>
      <c r="K119" s="58"/>
    </row>
    <row r="120" spans="1:11">
      <c r="A120" s="9"/>
      <c r="B120" s="9"/>
      <c r="C120" s="9"/>
      <c r="D120" s="9"/>
      <c r="E120" s="9"/>
      <c r="F120" s="9"/>
      <c r="G120" s="9"/>
      <c r="H120" s="9"/>
      <c r="I120" s="15"/>
    </row>
    <row r="121" spans="1:11">
      <c r="A121" s="111" t="s">
        <v>141</v>
      </c>
      <c r="B121" s="111"/>
      <c r="C121" s="111"/>
      <c r="D121" s="111"/>
      <c r="E121" s="111"/>
      <c r="F121" s="111"/>
      <c r="G121" s="111"/>
      <c r="H121" s="111"/>
      <c r="I121" s="111"/>
      <c r="K121" s="32"/>
    </row>
    <row r="122" spans="1:11">
      <c r="A122" s="92" t="s">
        <v>142</v>
      </c>
      <c r="B122" s="92"/>
      <c r="C122" s="92"/>
      <c r="D122" s="92"/>
      <c r="E122" s="92"/>
      <c r="F122" s="92"/>
      <c r="G122" s="92"/>
      <c r="H122" s="92"/>
      <c r="I122" s="1" t="s">
        <v>41</v>
      </c>
    </row>
    <row r="123" spans="1:11">
      <c r="A123" s="2" t="s">
        <v>13</v>
      </c>
      <c r="B123" s="94" t="str">
        <f>A21</f>
        <v>MÓDULO 1 - COMPOSIÇÃO DA REMUNERAÇÃO</v>
      </c>
      <c r="C123" s="94"/>
      <c r="D123" s="94"/>
      <c r="E123" s="94"/>
      <c r="F123" s="94"/>
      <c r="G123" s="94"/>
      <c r="H123" s="94"/>
      <c r="I123" s="18">
        <f>I29</f>
        <v>2645.96</v>
      </c>
    </row>
    <row r="124" spans="1:11">
      <c r="A124" s="2" t="s">
        <v>16</v>
      </c>
      <c r="B124" s="94" t="str">
        <f>A31</f>
        <v>MÓDULO 2 – ENCARGOS E BENEFÍCIOS ANUAIS, MENSAIS E DIÁRIOS</v>
      </c>
      <c r="C124" s="94"/>
      <c r="D124" s="94"/>
      <c r="E124" s="94"/>
      <c r="F124" s="94"/>
      <c r="G124" s="94"/>
      <c r="H124" s="94"/>
      <c r="I124" s="18">
        <f>I62</f>
        <v>1754.14</v>
      </c>
    </row>
    <row r="125" spans="1:11">
      <c r="A125" s="2" t="s">
        <v>19</v>
      </c>
      <c r="B125" s="94" t="str">
        <f>A64</f>
        <v>MÓDULO 3 – PROVISÃO PARA RESCISÃO</v>
      </c>
      <c r="C125" s="94"/>
      <c r="D125" s="94"/>
      <c r="E125" s="94"/>
      <c r="F125" s="94"/>
      <c r="G125" s="94"/>
      <c r="H125" s="94"/>
      <c r="I125" s="18">
        <f>I72</f>
        <v>241.58</v>
      </c>
      <c r="K125" s="32"/>
    </row>
    <row r="126" spans="1:11">
      <c r="A126" s="2" t="s">
        <v>21</v>
      </c>
      <c r="B126" s="94" t="str">
        <f>A74</f>
        <v>MÓDULO 4 – CUSTO DE REPOSIÇÃO DO PROFISSIONAL AUSENTE</v>
      </c>
      <c r="C126" s="94"/>
      <c r="D126" s="94"/>
      <c r="E126" s="94"/>
      <c r="F126" s="94"/>
      <c r="G126" s="94"/>
      <c r="H126" s="94"/>
      <c r="I126" s="18">
        <f>I92</f>
        <v>792.62</v>
      </c>
      <c r="K126" s="32"/>
    </row>
    <row r="127" spans="1:11">
      <c r="A127" s="2" t="s">
        <v>47</v>
      </c>
      <c r="B127" s="94" t="str">
        <f>A94</f>
        <v>MÓDULO 5 – INSUMOS DIVERSOS</v>
      </c>
      <c r="C127" s="94"/>
      <c r="D127" s="94"/>
      <c r="E127" s="94"/>
      <c r="F127" s="94"/>
      <c r="G127" s="94"/>
      <c r="H127" s="94"/>
      <c r="I127" s="18">
        <f>I100</f>
        <v>124.47</v>
      </c>
    </row>
    <row r="128" spans="1:11">
      <c r="A128" s="1"/>
      <c r="B128" s="92" t="s">
        <v>143</v>
      </c>
      <c r="C128" s="92"/>
      <c r="D128" s="92"/>
      <c r="E128" s="92"/>
      <c r="F128" s="92"/>
      <c r="G128" s="92"/>
      <c r="H128" s="92"/>
      <c r="I128" s="14">
        <f>TRUNC(SUM(I123:I127),2)</f>
        <v>5558.77</v>
      </c>
      <c r="K128" s="58"/>
    </row>
    <row r="129" spans="1:9">
      <c r="A129" s="2" t="s">
        <v>49</v>
      </c>
      <c r="B129" s="94" t="str">
        <f>A102</f>
        <v>MÓDULO 6 – CUSTOS INDIRETOS, TRIBUTOS E LUCRO</v>
      </c>
      <c r="C129" s="94"/>
      <c r="D129" s="94"/>
      <c r="E129" s="94"/>
      <c r="F129" s="94"/>
      <c r="G129" s="94"/>
      <c r="H129" s="94"/>
      <c r="I129" s="18">
        <f>I110</f>
        <v>1394.42</v>
      </c>
    </row>
    <row r="130" spans="1:9">
      <c r="A130" s="92" t="s">
        <v>144</v>
      </c>
      <c r="B130" s="92"/>
      <c r="C130" s="92"/>
      <c r="D130" s="92"/>
      <c r="E130" s="92"/>
      <c r="F130" s="92"/>
      <c r="G130" s="92"/>
      <c r="H130" s="92"/>
      <c r="I130" s="14">
        <f>TRUNC(SUM(I128:I129),2)</f>
        <v>6953.19</v>
      </c>
    </row>
    <row r="131" spans="1:9">
      <c r="A131" s="92" t="s">
        <v>145</v>
      </c>
      <c r="B131" s="92"/>
      <c r="C131" s="92"/>
      <c r="D131" s="127">
        <v>2</v>
      </c>
      <c r="E131" s="128"/>
      <c r="F131" s="128"/>
      <c r="G131" s="128"/>
      <c r="H131" s="128"/>
      <c r="I131" s="129"/>
    </row>
    <row r="132" spans="1:9" hidden="1">
      <c r="A132" s="2"/>
      <c r="B132" s="95" t="s">
        <v>146</v>
      </c>
      <c r="C132" s="95"/>
      <c r="D132" s="95"/>
      <c r="E132" s="95"/>
      <c r="F132" s="95"/>
      <c r="G132" s="95"/>
      <c r="H132" s="1"/>
      <c r="I132" s="1"/>
    </row>
    <row r="133" spans="1:9" ht="40.5" hidden="1" customHeight="1">
      <c r="A133" s="126" t="s">
        <v>147</v>
      </c>
      <c r="B133" s="126"/>
      <c r="C133" s="126" t="s">
        <v>148</v>
      </c>
      <c r="D133" s="126"/>
      <c r="E133" s="126" t="s">
        <v>149</v>
      </c>
      <c r="F133" s="126"/>
      <c r="G133" s="61" t="s">
        <v>150</v>
      </c>
      <c r="H133" s="61" t="s">
        <v>151</v>
      </c>
      <c r="I133" s="1" t="s">
        <v>41</v>
      </c>
    </row>
    <row r="134" spans="1:9" hidden="1">
      <c r="A134" s="95" t="s">
        <v>152</v>
      </c>
      <c r="B134" s="95"/>
      <c r="C134" s="94" t="s">
        <v>153</v>
      </c>
      <c r="D134" s="94"/>
      <c r="E134" s="95"/>
      <c r="F134" s="95"/>
      <c r="G134" s="4" t="s">
        <v>153</v>
      </c>
      <c r="H134" s="4"/>
      <c r="I134" s="18">
        <v>0</v>
      </c>
    </row>
    <row r="135" spans="1:9" hidden="1">
      <c r="A135" s="95" t="s">
        <v>154</v>
      </c>
      <c r="B135" s="95"/>
      <c r="C135" s="94" t="s">
        <v>153</v>
      </c>
      <c r="D135" s="94"/>
      <c r="E135" s="95"/>
      <c r="F135" s="95"/>
      <c r="G135" s="4" t="s">
        <v>153</v>
      </c>
      <c r="H135" s="4"/>
      <c r="I135" s="18">
        <v>0</v>
      </c>
    </row>
    <row r="136" spans="1:9" hidden="1">
      <c r="A136" s="95" t="s">
        <v>155</v>
      </c>
      <c r="B136" s="95"/>
      <c r="C136" s="94" t="s">
        <v>153</v>
      </c>
      <c r="D136" s="94"/>
      <c r="E136" s="95"/>
      <c r="F136" s="95"/>
      <c r="G136" s="4" t="s">
        <v>153</v>
      </c>
      <c r="H136" s="4"/>
      <c r="I136" s="18">
        <v>0</v>
      </c>
    </row>
    <row r="137" spans="1:9" hidden="1">
      <c r="A137" s="95" t="s">
        <v>156</v>
      </c>
      <c r="B137" s="95"/>
      <c r="C137" s="94" t="s">
        <v>153</v>
      </c>
      <c r="D137" s="94"/>
      <c r="E137" s="95"/>
      <c r="F137" s="95"/>
      <c r="G137" s="4" t="s">
        <v>153</v>
      </c>
      <c r="H137" s="4"/>
      <c r="I137" s="18">
        <v>0</v>
      </c>
    </row>
    <row r="138" spans="1:9" hidden="1">
      <c r="A138" s="92"/>
      <c r="B138" s="92"/>
      <c r="C138" s="95"/>
      <c r="D138" s="95"/>
      <c r="E138" s="95"/>
      <c r="F138" s="95"/>
      <c r="G138" s="7"/>
      <c r="H138" s="7"/>
      <c r="I138" s="18"/>
    </row>
    <row r="139" spans="1:9" hidden="1">
      <c r="A139" s="92"/>
      <c r="B139" s="92"/>
      <c r="C139" s="95"/>
      <c r="D139" s="95"/>
      <c r="E139" s="95"/>
      <c r="F139" s="95"/>
      <c r="G139" s="4"/>
      <c r="H139" s="4"/>
      <c r="I139" s="18"/>
    </row>
    <row r="140" spans="1:9" hidden="1">
      <c r="A140" s="92" t="s">
        <v>157</v>
      </c>
      <c r="B140" s="92"/>
      <c r="C140" s="92"/>
      <c r="D140" s="92"/>
      <c r="E140" s="92"/>
      <c r="F140" s="92"/>
      <c r="G140" s="92"/>
      <c r="H140" s="92"/>
      <c r="I140" s="14">
        <f>SUM(I138:I139)</f>
        <v>0</v>
      </c>
    </row>
    <row r="141" spans="1:9" hidden="1">
      <c r="A141" s="4"/>
      <c r="B141" s="4"/>
      <c r="C141" s="4"/>
      <c r="D141" s="4"/>
      <c r="E141" s="4"/>
      <c r="F141" s="4"/>
      <c r="G141" s="4"/>
      <c r="H141" s="4"/>
      <c r="I141" s="4"/>
    </row>
    <row r="142" spans="1:9" hidden="1">
      <c r="A142" s="2" t="s">
        <v>158</v>
      </c>
      <c r="B142" s="95" t="s">
        <v>159</v>
      </c>
      <c r="C142" s="95"/>
      <c r="D142" s="95"/>
      <c r="E142" s="95"/>
      <c r="F142" s="95"/>
      <c r="G142" s="95"/>
      <c r="H142" s="1"/>
      <c r="I142" s="1"/>
    </row>
    <row r="143" spans="1:9" hidden="1">
      <c r="A143" s="92" t="s">
        <v>160</v>
      </c>
      <c r="B143" s="92"/>
      <c r="C143" s="92"/>
      <c r="D143" s="92"/>
      <c r="E143" s="92"/>
      <c r="F143" s="92"/>
      <c r="G143" s="92"/>
      <c r="H143" s="92"/>
      <c r="I143" s="92"/>
    </row>
    <row r="144" spans="1:9" hidden="1">
      <c r="A144" s="2"/>
      <c r="B144" s="121" t="s">
        <v>161</v>
      </c>
      <c r="C144" s="121"/>
      <c r="D144" s="121"/>
      <c r="E144" s="121"/>
      <c r="F144" s="121"/>
      <c r="G144" s="121"/>
      <c r="H144" s="121"/>
      <c r="I144" s="1" t="s">
        <v>41</v>
      </c>
    </row>
    <row r="145" spans="1:9" hidden="1">
      <c r="A145" s="2" t="s">
        <v>13</v>
      </c>
      <c r="B145" s="94" t="s">
        <v>162</v>
      </c>
      <c r="C145" s="94"/>
      <c r="D145" s="94"/>
      <c r="E145" s="94"/>
      <c r="F145" s="94"/>
      <c r="G145" s="94"/>
      <c r="H145" s="94"/>
      <c r="I145" s="18">
        <f>I107</f>
        <v>45.195734999999992</v>
      </c>
    </row>
    <row r="146" spans="1:9" hidden="1">
      <c r="A146" s="2" t="s">
        <v>16</v>
      </c>
      <c r="B146" s="94" t="s">
        <v>163</v>
      </c>
      <c r="C146" s="94"/>
      <c r="D146" s="94"/>
      <c r="E146" s="94"/>
      <c r="F146" s="94"/>
      <c r="G146" s="94"/>
      <c r="H146" s="94"/>
      <c r="I146" s="18" t="e">
        <f>#REF!</f>
        <v>#REF!</v>
      </c>
    </row>
    <row r="147" spans="1:9" hidden="1">
      <c r="A147" s="2" t="s">
        <v>19</v>
      </c>
      <c r="B147" s="94" t="s">
        <v>164</v>
      </c>
      <c r="C147" s="94"/>
      <c r="D147" s="94"/>
      <c r="E147" s="94"/>
      <c r="F147" s="94"/>
      <c r="G147" s="94"/>
      <c r="H147" s="94"/>
      <c r="I147" s="18">
        <f>I110</f>
        <v>1394.42</v>
      </c>
    </row>
    <row r="148" spans="1:9" hidden="1">
      <c r="A148" s="95" t="s">
        <v>165</v>
      </c>
      <c r="B148" s="95"/>
      <c r="C148" s="95"/>
      <c r="D148" s="95"/>
      <c r="E148" s="95"/>
      <c r="F148" s="95"/>
      <c r="G148" s="95"/>
      <c r="H148" s="95"/>
      <c r="I148" s="14" t="e">
        <f>SUM(I145:I147)</f>
        <v>#REF!</v>
      </c>
    </row>
    <row r="149" spans="1:9" hidden="1">
      <c r="A149" s="2" t="s">
        <v>166</v>
      </c>
      <c r="B149" s="4" t="s">
        <v>167</v>
      </c>
      <c r="C149" s="4"/>
      <c r="D149" s="4"/>
      <c r="E149" s="4"/>
      <c r="F149" s="4"/>
      <c r="G149" s="4"/>
      <c r="H149" s="4"/>
      <c r="I149" s="4"/>
    </row>
    <row r="150" spans="1:9" hidden="1">
      <c r="A150" s="4"/>
      <c r="B150" s="4"/>
      <c r="C150" s="4"/>
      <c r="D150" s="4"/>
      <c r="E150" s="4"/>
      <c r="F150" s="4"/>
      <c r="G150" s="4"/>
      <c r="H150" s="4"/>
      <c r="I150" s="4"/>
    </row>
    <row r="151" spans="1:9" hidden="1">
      <c r="A151" s="4"/>
      <c r="B151" s="4"/>
      <c r="C151" s="4"/>
      <c r="D151" s="4"/>
      <c r="E151" s="4"/>
      <c r="F151" s="4"/>
      <c r="G151" s="4"/>
      <c r="H151" s="4"/>
      <c r="I151" s="4"/>
    </row>
    <row r="152" spans="1:9">
      <c r="A152" s="92" t="s">
        <v>168</v>
      </c>
      <c r="B152" s="92"/>
      <c r="C152" s="92"/>
      <c r="D152" s="134">
        <f>D131*I130</f>
        <v>13906.38</v>
      </c>
      <c r="E152" s="135"/>
      <c r="F152" s="135"/>
      <c r="G152" s="135"/>
      <c r="H152" s="135"/>
      <c r="I152" s="136"/>
    </row>
    <row r="154" spans="1:9" ht="66" customHeight="1">
      <c r="A154" s="130" t="s">
        <v>169</v>
      </c>
      <c r="B154" s="131"/>
      <c r="C154" s="131"/>
      <c r="D154" s="131"/>
      <c r="E154" s="131"/>
      <c r="F154" s="131"/>
      <c r="G154" s="131"/>
      <c r="H154" s="131"/>
      <c r="I154" s="131"/>
    </row>
    <row r="155" spans="1:9" ht="12.75" customHeight="1">
      <c r="A155" s="65"/>
      <c r="B155" s="66"/>
      <c r="C155" s="66"/>
      <c r="D155" s="66"/>
      <c r="E155" s="66"/>
      <c r="F155" s="66"/>
      <c r="G155" s="66"/>
      <c r="H155" s="66"/>
      <c r="I155" s="66"/>
    </row>
    <row r="156" spans="1:9" ht="26.25" customHeight="1">
      <c r="A156" s="132" t="s">
        <v>170</v>
      </c>
      <c r="B156" s="133"/>
      <c r="C156" s="133"/>
      <c r="D156" s="133"/>
      <c r="E156" s="133"/>
      <c r="F156" s="133"/>
      <c r="G156" s="133"/>
      <c r="H156" s="133"/>
      <c r="I156" s="133"/>
    </row>
    <row r="158" spans="1:9">
      <c r="A158" s="16" t="s">
        <v>171</v>
      </c>
      <c r="B158" s="16">
        <f>I130/I123</f>
        <v>2.6278515170297356</v>
      </c>
    </row>
    <row r="159" spans="1:9">
      <c r="A159" s="32"/>
      <c r="B159" s="16"/>
      <c r="E159" s="59"/>
    </row>
    <row r="160" spans="1:9">
      <c r="A160" s="16" t="s">
        <v>172</v>
      </c>
      <c r="B160" s="16"/>
      <c r="C160" s="32">
        <f>2*'12 x 36 noturno'!I130</f>
        <v>13906.38</v>
      </c>
    </row>
    <row r="161" spans="1:3">
      <c r="A161" s="16" t="s">
        <v>173</v>
      </c>
      <c r="B161" s="16"/>
      <c r="C161" s="32">
        <f>H8*C160</f>
        <v>333753.12</v>
      </c>
    </row>
    <row r="162" spans="1:3">
      <c r="A162" s="59"/>
    </row>
    <row r="163" spans="1:3">
      <c r="A163" s="59"/>
    </row>
  </sheetData>
  <mergeCells count="171">
    <mergeCell ref="A154:I154"/>
    <mergeCell ref="A156:I156"/>
    <mergeCell ref="B147:H147"/>
    <mergeCell ref="A148:H148"/>
    <mergeCell ref="A139:B139"/>
    <mergeCell ref="C139:D139"/>
    <mergeCell ref="E139:F139"/>
    <mergeCell ref="A140:H140"/>
    <mergeCell ref="B142:G142"/>
    <mergeCell ref="A143:I143"/>
    <mergeCell ref="B144:H144"/>
    <mergeCell ref="B145:H145"/>
    <mergeCell ref="B146:H146"/>
    <mergeCell ref="A152:C152"/>
    <mergeCell ref="D152:I152"/>
    <mergeCell ref="A136:B136"/>
    <mergeCell ref="C136:D136"/>
    <mergeCell ref="E136:F136"/>
    <mergeCell ref="A137:B137"/>
    <mergeCell ref="C137:D137"/>
    <mergeCell ref="E137:F137"/>
    <mergeCell ref="A138:B138"/>
    <mergeCell ref="C138:D138"/>
    <mergeCell ref="E138:F138"/>
    <mergeCell ref="A130:H130"/>
    <mergeCell ref="B132:G132"/>
    <mergeCell ref="A133:B133"/>
    <mergeCell ref="C133:D133"/>
    <mergeCell ref="E133:F133"/>
    <mergeCell ref="A134:B134"/>
    <mergeCell ref="C134:D134"/>
    <mergeCell ref="E134:F134"/>
    <mergeCell ref="A135:B135"/>
    <mergeCell ref="C135:D135"/>
    <mergeCell ref="E135:F135"/>
    <mergeCell ref="A131:C131"/>
    <mergeCell ref="D131:I131"/>
    <mergeCell ref="A121:I121"/>
    <mergeCell ref="A122:H122"/>
    <mergeCell ref="B123:H123"/>
    <mergeCell ref="B124:H124"/>
    <mergeCell ref="B125:H125"/>
    <mergeCell ref="B126:H126"/>
    <mergeCell ref="B127:H127"/>
    <mergeCell ref="B128:H128"/>
    <mergeCell ref="B129:H129"/>
    <mergeCell ref="B108:G108"/>
    <mergeCell ref="B109:G109"/>
    <mergeCell ref="A110:G110"/>
    <mergeCell ref="B111:I111"/>
    <mergeCell ref="B112:G112"/>
    <mergeCell ref="B113:G113"/>
    <mergeCell ref="B115:G115"/>
    <mergeCell ref="B117:G117"/>
    <mergeCell ref="B119:G119"/>
    <mergeCell ref="B99:G99"/>
    <mergeCell ref="A100:G100"/>
    <mergeCell ref="A101:I101"/>
    <mergeCell ref="A102:I102"/>
    <mergeCell ref="B103:G103"/>
    <mergeCell ref="B104:G104"/>
    <mergeCell ref="B105:G105"/>
    <mergeCell ref="B106:G106"/>
    <mergeCell ref="B107:G107"/>
    <mergeCell ref="B90:H90"/>
    <mergeCell ref="B91:H91"/>
    <mergeCell ref="A92:H92"/>
    <mergeCell ref="A93:I93"/>
    <mergeCell ref="A94:I94"/>
    <mergeCell ref="B95:G95"/>
    <mergeCell ref="B96:G96"/>
    <mergeCell ref="B97:G97"/>
    <mergeCell ref="B98:G98"/>
    <mergeCell ref="B81:G81"/>
    <mergeCell ref="A82:G82"/>
    <mergeCell ref="A83:I83"/>
    <mergeCell ref="A84:G84"/>
    <mergeCell ref="B85:G85"/>
    <mergeCell ref="A86:G86"/>
    <mergeCell ref="A87:I87"/>
    <mergeCell ref="A88:I88"/>
    <mergeCell ref="A89:H89"/>
    <mergeCell ref="A72:G72"/>
    <mergeCell ref="A73:I73"/>
    <mergeCell ref="A74:I74"/>
    <mergeCell ref="A75:G75"/>
    <mergeCell ref="B76:G76"/>
    <mergeCell ref="B77:G77"/>
    <mergeCell ref="B78:G78"/>
    <mergeCell ref="B79:G79"/>
    <mergeCell ref="B80:G80"/>
    <mergeCell ref="A63:I63"/>
    <mergeCell ref="A64:I64"/>
    <mergeCell ref="B65:G65"/>
    <mergeCell ref="B66:G66"/>
    <mergeCell ref="B67:G67"/>
    <mergeCell ref="B68:G68"/>
    <mergeCell ref="B69:G69"/>
    <mergeCell ref="B70:G70"/>
    <mergeCell ref="B71:G71"/>
    <mergeCell ref="B54:G54"/>
    <mergeCell ref="A55:H55"/>
    <mergeCell ref="A56:I56"/>
    <mergeCell ref="A57:I57"/>
    <mergeCell ref="A58:H58"/>
    <mergeCell ref="B59:H59"/>
    <mergeCell ref="B60:H60"/>
    <mergeCell ref="B61:H61"/>
    <mergeCell ref="A62:H62"/>
    <mergeCell ref="B51:G51"/>
    <mergeCell ref="B52:G52"/>
    <mergeCell ref="B53:G53"/>
    <mergeCell ref="A37:G37"/>
    <mergeCell ref="B38:G38"/>
    <mergeCell ref="B39:G39"/>
    <mergeCell ref="B40:G40"/>
    <mergeCell ref="B41:G41"/>
    <mergeCell ref="B42:G42"/>
    <mergeCell ref="B43:G43"/>
    <mergeCell ref="B44:G44"/>
    <mergeCell ref="B45:G45"/>
    <mergeCell ref="B33:G33"/>
    <mergeCell ref="B34:G34"/>
    <mergeCell ref="A35:G35"/>
    <mergeCell ref="A36:I36"/>
    <mergeCell ref="A46:G46"/>
    <mergeCell ref="A47:I47"/>
    <mergeCell ref="A48:G48"/>
    <mergeCell ref="B49:G49"/>
    <mergeCell ref="B50:G50"/>
    <mergeCell ref="B23:G23"/>
    <mergeCell ref="B24:G24"/>
    <mergeCell ref="B25:G25"/>
    <mergeCell ref="B26:G26"/>
    <mergeCell ref="B27:G27"/>
    <mergeCell ref="B28:G28"/>
    <mergeCell ref="A29:H29"/>
    <mergeCell ref="A31:I31"/>
    <mergeCell ref="A32:G32"/>
    <mergeCell ref="A1:I1"/>
    <mergeCell ref="A2:I2"/>
    <mergeCell ref="A4:I4"/>
    <mergeCell ref="B5:G5"/>
    <mergeCell ref="H5:I5"/>
    <mergeCell ref="B6:G6"/>
    <mergeCell ref="H6:I6"/>
    <mergeCell ref="B7:G7"/>
    <mergeCell ref="H7:I7"/>
    <mergeCell ref="A14:I14"/>
    <mergeCell ref="B15:G15"/>
    <mergeCell ref="H15:I15"/>
    <mergeCell ref="B8:G8"/>
    <mergeCell ref="H8:I8"/>
    <mergeCell ref="A10:I10"/>
    <mergeCell ref="A11:B11"/>
    <mergeCell ref="C11:D11"/>
    <mergeCell ref="E11:I11"/>
    <mergeCell ref="A12:B12"/>
    <mergeCell ref="C12:D12"/>
    <mergeCell ref="E12:I12"/>
    <mergeCell ref="A21:I21"/>
    <mergeCell ref="B22:G22"/>
    <mergeCell ref="B16:G16"/>
    <mergeCell ref="H16:I16"/>
    <mergeCell ref="B17:G17"/>
    <mergeCell ref="H17:I17"/>
    <mergeCell ref="B18:G18"/>
    <mergeCell ref="H18:I18"/>
    <mergeCell ref="B19:G19"/>
    <mergeCell ref="H19:I19"/>
    <mergeCell ref="A20:I20"/>
  </mergeCells>
  <pageMargins left="0.39305555555555599" right="0.196527777777778" top="0.59027777777777801" bottom="0.39305555555555599" header="0.156944444444444" footer="0.156944444444444"/>
  <pageSetup paperSize="9" scale="67" firstPageNumber="0" fitToHeight="0" orientation="portrait" useFirstPageNumber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C7B251-24C4-40DA-9786-93F328D52B38}">
  <sheetPr>
    <pageSetUpPr fitToPage="1"/>
  </sheetPr>
  <dimension ref="A1:R165"/>
  <sheetViews>
    <sheetView tabSelected="1" topLeftCell="A54" workbookViewId="0">
      <selection activeCell="A2" sqref="A2:I2"/>
    </sheetView>
  </sheetViews>
  <sheetFormatPr defaultColWidth="9.140625" defaultRowHeight="12.75"/>
  <cols>
    <col min="1" max="1" width="10" customWidth="1"/>
    <col min="3" max="3" width="18.28515625" customWidth="1"/>
    <col min="5" max="5" width="10.85546875" customWidth="1"/>
    <col min="7" max="7" width="19.140625" customWidth="1"/>
    <col min="8" max="8" width="11" bestFit="1" customWidth="1"/>
    <col min="9" max="9" width="12" customWidth="1"/>
    <col min="10" max="10" width="9.5703125" customWidth="1"/>
    <col min="11" max="11" width="14" customWidth="1"/>
    <col min="13" max="13" width="9.5703125" customWidth="1"/>
  </cols>
  <sheetData>
    <row r="1" spans="1:9">
      <c r="A1" s="98"/>
      <c r="B1" s="98"/>
      <c r="C1" s="98"/>
      <c r="D1" s="98"/>
      <c r="E1" s="98"/>
      <c r="F1" s="98"/>
      <c r="G1" s="98"/>
      <c r="H1" s="98"/>
      <c r="I1" s="98"/>
    </row>
    <row r="2" spans="1:9">
      <c r="A2" s="101" t="s">
        <v>229</v>
      </c>
      <c r="B2" s="101"/>
      <c r="C2" s="101"/>
      <c r="D2" s="101"/>
      <c r="E2" s="101"/>
      <c r="F2" s="101"/>
      <c r="G2" s="101"/>
      <c r="H2" s="101"/>
      <c r="I2" s="101"/>
    </row>
    <row r="3" spans="1:9">
      <c r="A3" s="8"/>
      <c r="B3" s="8"/>
      <c r="C3" s="8"/>
      <c r="D3" s="8"/>
      <c r="E3" s="8"/>
      <c r="F3" s="8"/>
      <c r="G3" s="8"/>
      <c r="H3" s="8"/>
      <c r="I3" s="8"/>
    </row>
    <row r="4" spans="1:9">
      <c r="A4" s="99" t="s">
        <v>12</v>
      </c>
      <c r="B4" s="99"/>
      <c r="C4" s="99"/>
      <c r="D4" s="99"/>
      <c r="E4" s="99"/>
      <c r="F4" s="99"/>
      <c r="G4" s="99"/>
      <c r="H4" s="99"/>
      <c r="I4" s="99"/>
    </row>
    <row r="5" spans="1:9">
      <c r="A5" s="2" t="s">
        <v>13</v>
      </c>
      <c r="B5" s="94" t="s">
        <v>14</v>
      </c>
      <c r="C5" s="94"/>
      <c r="D5" s="94"/>
      <c r="E5" s="94"/>
      <c r="F5" s="94"/>
      <c r="G5" s="94"/>
      <c r="H5" s="97" t="s">
        <v>15</v>
      </c>
      <c r="I5" s="95"/>
    </row>
    <row r="6" spans="1:9">
      <c r="A6" s="2" t="s">
        <v>16</v>
      </c>
      <c r="B6" s="94" t="s">
        <v>17</v>
      </c>
      <c r="C6" s="94"/>
      <c r="D6" s="94"/>
      <c r="E6" s="94"/>
      <c r="F6" s="94"/>
      <c r="G6" s="94"/>
      <c r="H6" s="95" t="s">
        <v>18</v>
      </c>
      <c r="I6" s="95"/>
    </row>
    <row r="7" spans="1:9">
      <c r="A7" s="2" t="s">
        <v>19</v>
      </c>
      <c r="B7" s="94" t="s">
        <v>20</v>
      </c>
      <c r="C7" s="94"/>
      <c r="D7" s="94"/>
      <c r="E7" s="94"/>
      <c r="F7" s="94"/>
      <c r="G7" s="94"/>
      <c r="H7" s="95" t="s">
        <v>222</v>
      </c>
      <c r="I7" s="95"/>
    </row>
    <row r="8" spans="1:9">
      <c r="A8" s="2" t="s">
        <v>21</v>
      </c>
      <c r="B8" s="94" t="s">
        <v>22</v>
      </c>
      <c r="C8" s="94"/>
      <c r="D8" s="94"/>
      <c r="E8" s="94"/>
      <c r="F8" s="94"/>
      <c r="G8" s="94"/>
      <c r="H8" s="95">
        <v>24</v>
      </c>
      <c r="I8" s="95"/>
    </row>
    <row r="9" spans="1:9">
      <c r="A9" s="9"/>
      <c r="B9" s="8"/>
      <c r="C9" s="8"/>
      <c r="D9" s="8"/>
      <c r="E9" s="8"/>
      <c r="F9" s="8"/>
      <c r="G9" s="8"/>
      <c r="H9" s="9"/>
      <c r="I9" s="9"/>
    </row>
    <row r="10" spans="1:9">
      <c r="A10" s="99" t="s">
        <v>23</v>
      </c>
      <c r="B10" s="99"/>
      <c r="C10" s="99"/>
      <c r="D10" s="99"/>
      <c r="E10" s="99"/>
      <c r="F10" s="99"/>
      <c r="G10" s="99"/>
      <c r="H10" s="99"/>
      <c r="I10" s="99"/>
    </row>
    <row r="11" spans="1:9">
      <c r="A11" s="95" t="s">
        <v>24</v>
      </c>
      <c r="B11" s="95"/>
      <c r="C11" s="95" t="s">
        <v>25</v>
      </c>
      <c r="D11" s="95"/>
      <c r="E11" s="95" t="s">
        <v>26</v>
      </c>
      <c r="F11" s="95"/>
      <c r="G11" s="95"/>
      <c r="H11" s="95"/>
      <c r="I11" s="95"/>
    </row>
    <row r="12" spans="1:9">
      <c r="A12" s="95" t="s">
        <v>27</v>
      </c>
      <c r="B12" s="95"/>
      <c r="C12" s="95" t="s">
        <v>28</v>
      </c>
      <c r="D12" s="95"/>
      <c r="E12" s="95">
        <v>2</v>
      </c>
      <c r="F12" s="95"/>
      <c r="G12" s="95"/>
      <c r="H12" s="95"/>
      <c r="I12" s="95"/>
    </row>
    <row r="13" spans="1:9">
      <c r="A13" s="9"/>
      <c r="B13" s="8"/>
      <c r="C13" s="8"/>
      <c r="D13" s="8"/>
      <c r="E13" s="8"/>
      <c r="F13" s="8"/>
      <c r="G13" s="8"/>
      <c r="H13" s="9"/>
      <c r="I13" s="9"/>
    </row>
    <row r="14" spans="1:9">
      <c r="A14" s="99" t="s">
        <v>29</v>
      </c>
      <c r="B14" s="99"/>
      <c r="C14" s="99"/>
      <c r="D14" s="99"/>
      <c r="E14" s="99"/>
      <c r="F14" s="99"/>
      <c r="G14" s="99"/>
      <c r="H14" s="99"/>
      <c r="I14" s="99"/>
    </row>
    <row r="15" spans="1:9">
      <c r="A15" s="2">
        <v>1</v>
      </c>
      <c r="B15" s="94" t="s">
        <v>30</v>
      </c>
      <c r="C15" s="94"/>
      <c r="D15" s="94"/>
      <c r="E15" s="94"/>
      <c r="F15" s="94"/>
      <c r="G15" s="94"/>
      <c r="H15" s="100" t="s">
        <v>174</v>
      </c>
      <c r="I15" s="95"/>
    </row>
    <row r="16" spans="1:9">
      <c r="A16" s="2">
        <v>2</v>
      </c>
      <c r="B16" s="94" t="s">
        <v>32</v>
      </c>
      <c r="C16" s="94"/>
      <c r="D16" s="94"/>
      <c r="E16" s="94"/>
      <c r="F16" s="94"/>
      <c r="G16" s="94"/>
      <c r="H16" s="95" t="s">
        <v>33</v>
      </c>
      <c r="I16" s="95"/>
    </row>
    <row r="17" spans="1:11">
      <c r="A17" s="2">
        <v>3</v>
      </c>
      <c r="B17" s="94" t="s">
        <v>34</v>
      </c>
      <c r="C17" s="94"/>
      <c r="D17" s="94"/>
      <c r="E17" s="94"/>
      <c r="F17" s="94"/>
      <c r="G17" s="94"/>
      <c r="H17" s="96">
        <v>1858</v>
      </c>
      <c r="I17" s="95"/>
    </row>
    <row r="18" spans="1:11">
      <c r="A18" s="2">
        <v>4</v>
      </c>
      <c r="B18" s="94" t="s">
        <v>35</v>
      </c>
      <c r="C18" s="94"/>
      <c r="D18" s="94"/>
      <c r="E18" s="94"/>
      <c r="F18" s="94"/>
      <c r="G18" s="94"/>
      <c r="H18" s="95" t="s">
        <v>36</v>
      </c>
      <c r="I18" s="95"/>
    </row>
    <row r="19" spans="1:11">
      <c r="A19" s="2">
        <v>5</v>
      </c>
      <c r="B19" s="94" t="s">
        <v>37</v>
      </c>
      <c r="C19" s="94"/>
      <c r="D19" s="94"/>
      <c r="E19" s="94"/>
      <c r="F19" s="94"/>
      <c r="G19" s="94"/>
      <c r="H19" s="97">
        <v>45323</v>
      </c>
      <c r="I19" s="95"/>
    </row>
    <row r="20" spans="1:11">
      <c r="A20" s="98"/>
      <c r="B20" s="98"/>
      <c r="C20" s="98"/>
      <c r="D20" s="98"/>
      <c r="E20" s="98"/>
      <c r="F20" s="98"/>
      <c r="G20" s="98"/>
      <c r="H20" s="98"/>
      <c r="I20" s="98"/>
    </row>
    <row r="21" spans="1:11">
      <c r="A21" s="93" t="s">
        <v>38</v>
      </c>
      <c r="B21" s="93"/>
      <c r="C21" s="93"/>
      <c r="D21" s="93"/>
      <c r="E21" s="93"/>
      <c r="F21" s="93"/>
      <c r="G21" s="93"/>
      <c r="H21" s="93"/>
      <c r="I21" s="93"/>
    </row>
    <row r="22" spans="1:11">
      <c r="A22" s="1">
        <v>1</v>
      </c>
      <c r="B22" s="92" t="s">
        <v>39</v>
      </c>
      <c r="C22" s="92"/>
      <c r="D22" s="92"/>
      <c r="E22" s="92"/>
      <c r="F22" s="92"/>
      <c r="G22" s="92"/>
      <c r="H22" s="1" t="s">
        <v>40</v>
      </c>
      <c r="I22" s="1" t="s">
        <v>41</v>
      </c>
    </row>
    <row r="23" spans="1:11">
      <c r="A23" s="1" t="s">
        <v>13</v>
      </c>
      <c r="B23" s="94" t="s">
        <v>42</v>
      </c>
      <c r="C23" s="94"/>
      <c r="D23" s="94"/>
      <c r="E23" s="94"/>
      <c r="F23" s="94"/>
      <c r="G23" s="94"/>
      <c r="H23" s="4"/>
      <c r="I23" s="18">
        <f>H17</f>
        <v>1858</v>
      </c>
    </row>
    <row r="24" spans="1:11">
      <c r="A24" s="1" t="s">
        <v>16</v>
      </c>
      <c r="B24" s="94" t="s">
        <v>44</v>
      </c>
      <c r="C24" s="94"/>
      <c r="D24" s="94"/>
      <c r="E24" s="94"/>
      <c r="F24" s="94"/>
      <c r="G24" s="94"/>
      <c r="H24" s="52">
        <v>0.3</v>
      </c>
      <c r="I24" s="18">
        <f>I23*H24</f>
        <v>557.4</v>
      </c>
      <c r="K24" s="58"/>
    </row>
    <row r="25" spans="1:11">
      <c r="A25" s="1" t="s">
        <v>19</v>
      </c>
      <c r="B25" s="94" t="s">
        <v>45</v>
      </c>
      <c r="C25" s="94"/>
      <c r="D25" s="94"/>
      <c r="E25" s="94"/>
      <c r="F25" s="94"/>
      <c r="G25" s="94"/>
      <c r="H25" s="52"/>
      <c r="I25" s="18">
        <f>H25*I23</f>
        <v>0</v>
      </c>
    </row>
    <row r="26" spans="1:11">
      <c r="A26" s="1" t="s">
        <v>21</v>
      </c>
      <c r="B26" s="94" t="s">
        <v>46</v>
      </c>
      <c r="C26" s="94"/>
      <c r="D26" s="94"/>
      <c r="E26" s="94"/>
      <c r="F26" s="94"/>
      <c r="G26" s="94"/>
      <c r="H26" s="52" t="s">
        <v>15</v>
      </c>
      <c r="I26" s="18">
        <v>0</v>
      </c>
    </row>
    <row r="27" spans="1:11">
      <c r="A27" s="1" t="s">
        <v>47</v>
      </c>
      <c r="B27" s="94" t="s">
        <v>48</v>
      </c>
      <c r="C27" s="94"/>
      <c r="D27" s="94"/>
      <c r="E27" s="94"/>
      <c r="F27" s="94"/>
      <c r="G27" s="94"/>
      <c r="H27" s="53"/>
      <c r="I27" s="18">
        <v>0</v>
      </c>
    </row>
    <row r="28" spans="1:11">
      <c r="A28" s="1" t="s">
        <v>49</v>
      </c>
      <c r="B28" s="94" t="s">
        <v>120</v>
      </c>
      <c r="C28" s="94"/>
      <c r="D28" s="94"/>
      <c r="E28" s="94"/>
      <c r="F28" s="94"/>
      <c r="G28" s="94"/>
      <c r="H28" s="52"/>
      <c r="I28" s="18">
        <v>0</v>
      </c>
    </row>
    <row r="29" spans="1:11">
      <c r="A29" s="92" t="s">
        <v>50</v>
      </c>
      <c r="B29" s="92"/>
      <c r="C29" s="92"/>
      <c r="D29" s="92"/>
      <c r="E29" s="92"/>
      <c r="F29" s="92"/>
      <c r="G29" s="92"/>
      <c r="H29" s="92"/>
      <c r="I29" s="14">
        <f>TRUNC(SUM(I23:I28),2)</f>
        <v>2415.4</v>
      </c>
    </row>
    <row r="30" spans="1:11">
      <c r="A30" s="10"/>
      <c r="B30" s="10"/>
      <c r="C30" s="10"/>
      <c r="D30" s="10"/>
      <c r="E30" s="10"/>
      <c r="F30" s="10"/>
      <c r="G30" s="10"/>
      <c r="H30" s="10"/>
      <c r="I30" s="15"/>
    </row>
    <row r="31" spans="1:11">
      <c r="A31" s="93" t="s">
        <v>51</v>
      </c>
      <c r="B31" s="93"/>
      <c r="C31" s="93"/>
      <c r="D31" s="93"/>
      <c r="E31" s="93"/>
      <c r="F31" s="93"/>
      <c r="G31" s="93"/>
      <c r="H31" s="93"/>
      <c r="I31" s="93"/>
    </row>
    <row r="32" spans="1:11">
      <c r="A32" s="92" t="s">
        <v>52</v>
      </c>
      <c r="B32" s="92"/>
      <c r="C32" s="92"/>
      <c r="D32" s="92"/>
      <c r="E32" s="92"/>
      <c r="F32" s="92"/>
      <c r="G32" s="92"/>
      <c r="H32" s="1" t="s">
        <v>40</v>
      </c>
      <c r="I32" s="1" t="s">
        <v>41</v>
      </c>
    </row>
    <row r="33" spans="1:11">
      <c r="A33" s="1" t="s">
        <v>13</v>
      </c>
      <c r="B33" s="94" t="s">
        <v>53</v>
      </c>
      <c r="C33" s="94"/>
      <c r="D33" s="94"/>
      <c r="E33" s="94"/>
      <c r="F33" s="94"/>
      <c r="G33" s="94"/>
      <c r="H33" s="19">
        <v>8.3299999999999999E-2</v>
      </c>
      <c r="I33" s="18">
        <f>TRUNC($I$29*H33,2)</f>
        <v>201.2</v>
      </c>
    </row>
    <row r="34" spans="1:11">
      <c r="A34" s="1" t="s">
        <v>16</v>
      </c>
      <c r="B34" s="94" t="s">
        <v>54</v>
      </c>
      <c r="C34" s="94"/>
      <c r="D34" s="94"/>
      <c r="E34" s="94"/>
      <c r="F34" s="94"/>
      <c r="G34" s="94"/>
      <c r="H34" s="11">
        <v>3.0300000000000001E-2</v>
      </c>
      <c r="I34" s="18">
        <f>TRUNC(H34*I29,2)</f>
        <v>73.180000000000007</v>
      </c>
    </row>
    <row r="35" spans="1:11">
      <c r="A35" s="92" t="s">
        <v>55</v>
      </c>
      <c r="B35" s="92"/>
      <c r="C35" s="92"/>
      <c r="D35" s="92"/>
      <c r="E35" s="92"/>
      <c r="F35" s="92"/>
      <c r="G35" s="92"/>
      <c r="H35" s="12">
        <f>TRUNC(SUM(H33:H34),4)</f>
        <v>0.11360000000000001</v>
      </c>
      <c r="I35" s="14">
        <f>TRUNC(SUM(I33:I34),2)</f>
        <v>274.38</v>
      </c>
    </row>
    <row r="36" spans="1:11">
      <c r="A36" s="102"/>
      <c r="B36" s="103"/>
      <c r="C36" s="103"/>
      <c r="D36" s="103"/>
      <c r="E36" s="103"/>
      <c r="F36" s="103"/>
      <c r="G36" s="103"/>
      <c r="H36" s="103"/>
      <c r="I36" s="103"/>
      <c r="J36" s="16" t="s">
        <v>56</v>
      </c>
      <c r="K36" s="32">
        <f>I29+I35</f>
        <v>2689.78</v>
      </c>
    </row>
    <row r="37" spans="1:11">
      <c r="A37" s="92" t="s">
        <v>57</v>
      </c>
      <c r="B37" s="92"/>
      <c r="C37" s="92"/>
      <c r="D37" s="92"/>
      <c r="E37" s="92"/>
      <c r="F37" s="92"/>
      <c r="G37" s="92"/>
      <c r="H37" s="1" t="s">
        <v>40</v>
      </c>
      <c r="I37" s="1" t="s">
        <v>41</v>
      </c>
    </row>
    <row r="38" spans="1:11">
      <c r="A38" s="1" t="s">
        <v>13</v>
      </c>
      <c r="B38" s="94" t="s">
        <v>58</v>
      </c>
      <c r="C38" s="94"/>
      <c r="D38" s="94"/>
      <c r="E38" s="94"/>
      <c r="F38" s="94"/>
      <c r="G38" s="94"/>
      <c r="H38" s="19">
        <v>0.2</v>
      </c>
      <c r="I38" s="18">
        <f>H38*$K$36</f>
        <v>537.95600000000002</v>
      </c>
    </row>
    <row r="39" spans="1:11">
      <c r="A39" s="1" t="s">
        <v>16</v>
      </c>
      <c r="B39" s="94" t="s">
        <v>59</v>
      </c>
      <c r="C39" s="94"/>
      <c r="D39" s="94"/>
      <c r="E39" s="94"/>
      <c r="F39" s="94"/>
      <c r="G39" s="94"/>
      <c r="H39" s="19">
        <v>2.5000000000000001E-2</v>
      </c>
      <c r="I39" s="18">
        <f t="shared" ref="I39:I45" si="0">H39*$K$36</f>
        <v>67.244500000000002</v>
      </c>
    </row>
    <row r="40" spans="1:11">
      <c r="A40" s="1" t="s">
        <v>19</v>
      </c>
      <c r="B40" s="94" t="s">
        <v>60</v>
      </c>
      <c r="C40" s="94"/>
      <c r="D40" s="94"/>
      <c r="E40" s="94"/>
      <c r="F40" s="94"/>
      <c r="G40" s="94"/>
      <c r="H40" s="54">
        <v>0.03</v>
      </c>
      <c r="I40" s="18">
        <f t="shared" si="0"/>
        <v>80.693399999999997</v>
      </c>
    </row>
    <row r="41" spans="1:11">
      <c r="A41" s="1" t="s">
        <v>21</v>
      </c>
      <c r="B41" s="94" t="s">
        <v>61</v>
      </c>
      <c r="C41" s="94"/>
      <c r="D41" s="94"/>
      <c r="E41" s="94"/>
      <c r="F41" s="94"/>
      <c r="G41" s="94"/>
      <c r="H41" s="19">
        <v>1.4999999999999999E-2</v>
      </c>
      <c r="I41" s="18">
        <f t="shared" si="0"/>
        <v>40.346699999999998</v>
      </c>
    </row>
    <row r="42" spans="1:11">
      <c r="A42" s="1" t="s">
        <v>47</v>
      </c>
      <c r="B42" s="94" t="s">
        <v>62</v>
      </c>
      <c r="C42" s="94"/>
      <c r="D42" s="94"/>
      <c r="E42" s="94"/>
      <c r="F42" s="94"/>
      <c r="G42" s="94"/>
      <c r="H42" s="19">
        <v>0.01</v>
      </c>
      <c r="I42" s="18">
        <f t="shared" si="0"/>
        <v>26.897800000000004</v>
      </c>
    </row>
    <row r="43" spans="1:11">
      <c r="A43" s="1" t="s">
        <v>49</v>
      </c>
      <c r="B43" s="94" t="s">
        <v>63</v>
      </c>
      <c r="C43" s="94"/>
      <c r="D43" s="94"/>
      <c r="E43" s="94"/>
      <c r="F43" s="94"/>
      <c r="G43" s="94"/>
      <c r="H43" s="19">
        <v>6.0000000000000001E-3</v>
      </c>
      <c r="I43" s="18">
        <f t="shared" si="0"/>
        <v>16.138680000000001</v>
      </c>
    </row>
    <row r="44" spans="1:11">
      <c r="A44" s="1" t="s">
        <v>64</v>
      </c>
      <c r="B44" s="94" t="s">
        <v>65</v>
      </c>
      <c r="C44" s="94"/>
      <c r="D44" s="94"/>
      <c r="E44" s="94"/>
      <c r="F44" s="94"/>
      <c r="G44" s="94"/>
      <c r="H44" s="19">
        <v>2E-3</v>
      </c>
      <c r="I44" s="18">
        <f t="shared" si="0"/>
        <v>5.3795600000000006</v>
      </c>
    </row>
    <row r="45" spans="1:11">
      <c r="A45" s="1" t="s">
        <v>66</v>
      </c>
      <c r="B45" s="94" t="s">
        <v>67</v>
      </c>
      <c r="C45" s="94"/>
      <c r="D45" s="94"/>
      <c r="E45" s="94"/>
      <c r="F45" s="94"/>
      <c r="G45" s="94"/>
      <c r="H45" s="19">
        <v>0.08</v>
      </c>
      <c r="I45" s="18">
        <f t="shared" si="0"/>
        <v>215.18240000000003</v>
      </c>
    </row>
    <row r="46" spans="1:11">
      <c r="A46" s="92" t="s">
        <v>68</v>
      </c>
      <c r="B46" s="92"/>
      <c r="C46" s="92"/>
      <c r="D46" s="92"/>
      <c r="E46" s="92"/>
      <c r="F46" s="92"/>
      <c r="G46" s="92"/>
      <c r="H46" s="12">
        <f>SUM(H38:H45)</f>
        <v>0.36800000000000005</v>
      </c>
      <c r="I46" s="14">
        <f>TRUNC(SUM(I38:I45),2)</f>
        <v>989.83</v>
      </c>
    </row>
    <row r="47" spans="1:11">
      <c r="A47" s="104"/>
      <c r="B47" s="104"/>
      <c r="C47" s="104"/>
      <c r="D47" s="104"/>
      <c r="E47" s="104"/>
      <c r="F47" s="104"/>
      <c r="G47" s="104"/>
      <c r="H47" s="104"/>
      <c r="I47" s="105"/>
    </row>
    <row r="48" spans="1:11">
      <c r="A48" s="92" t="s">
        <v>69</v>
      </c>
      <c r="B48" s="92"/>
      <c r="C48" s="92"/>
      <c r="D48" s="92"/>
      <c r="E48" s="92"/>
      <c r="F48" s="92"/>
      <c r="G48" s="92"/>
      <c r="H48" s="12"/>
      <c r="I48" s="1" t="s">
        <v>41</v>
      </c>
    </row>
    <row r="49" spans="1:9">
      <c r="A49" s="1" t="s">
        <v>13</v>
      </c>
      <c r="B49" s="106" t="s">
        <v>70</v>
      </c>
      <c r="C49" s="107"/>
      <c r="D49" s="107"/>
      <c r="E49" s="107"/>
      <c r="F49" s="107"/>
      <c r="G49" s="107"/>
      <c r="H49" s="2" t="s">
        <v>15</v>
      </c>
      <c r="I49" s="17">
        <v>0</v>
      </c>
    </row>
    <row r="50" spans="1:9">
      <c r="A50" s="1" t="s">
        <v>16</v>
      </c>
      <c r="B50" s="106" t="s">
        <v>71</v>
      </c>
      <c r="C50" s="107"/>
      <c r="D50" s="107"/>
      <c r="E50" s="107"/>
      <c r="F50" s="107"/>
      <c r="G50" s="107"/>
      <c r="H50" s="2" t="s">
        <v>15</v>
      </c>
      <c r="I50" s="17">
        <f>27.5*15*0.8</f>
        <v>330</v>
      </c>
    </row>
    <row r="51" spans="1:9">
      <c r="A51" s="1" t="s">
        <v>19</v>
      </c>
      <c r="B51" s="107" t="s">
        <v>72</v>
      </c>
      <c r="C51" s="107"/>
      <c r="D51" s="107"/>
      <c r="E51" s="107"/>
      <c r="F51" s="107"/>
      <c r="G51" s="107"/>
      <c r="H51" s="2" t="s">
        <v>15</v>
      </c>
      <c r="I51" s="17">
        <v>0</v>
      </c>
    </row>
    <row r="52" spans="1:9">
      <c r="A52" s="1" t="s">
        <v>21</v>
      </c>
      <c r="B52" s="108" t="s">
        <v>73</v>
      </c>
      <c r="C52" s="109"/>
      <c r="D52" s="109"/>
      <c r="E52" s="109"/>
      <c r="F52" s="109"/>
      <c r="G52" s="110"/>
      <c r="H52" s="2" t="s">
        <v>15</v>
      </c>
      <c r="I52" s="17">
        <v>20</v>
      </c>
    </row>
    <row r="53" spans="1:9">
      <c r="A53" s="1" t="s">
        <v>47</v>
      </c>
      <c r="B53" s="108" t="s">
        <v>74</v>
      </c>
      <c r="C53" s="109"/>
      <c r="D53" s="109"/>
      <c r="E53" s="109"/>
      <c r="F53" s="109"/>
      <c r="G53" s="110"/>
      <c r="H53" s="2" t="s">
        <v>15</v>
      </c>
      <c r="I53" s="17">
        <v>7.67</v>
      </c>
    </row>
    <row r="54" spans="1:9">
      <c r="A54" s="1" t="s">
        <v>49</v>
      </c>
      <c r="B54" s="107" t="s">
        <v>175</v>
      </c>
      <c r="C54" s="107"/>
      <c r="D54" s="107"/>
      <c r="E54" s="107"/>
      <c r="F54" s="107"/>
      <c r="G54" s="107"/>
      <c r="H54" s="81" t="s">
        <v>15</v>
      </c>
      <c r="I54" s="17">
        <v>11.58</v>
      </c>
    </row>
    <row r="55" spans="1:9">
      <c r="A55" s="92" t="s">
        <v>76</v>
      </c>
      <c r="B55" s="92"/>
      <c r="C55" s="92"/>
      <c r="D55" s="92"/>
      <c r="E55" s="92"/>
      <c r="F55" s="92"/>
      <c r="G55" s="92"/>
      <c r="H55" s="92"/>
      <c r="I55" s="14">
        <f>SUM(I49:I54)</f>
        <v>369.25</v>
      </c>
    </row>
    <row r="56" spans="1:9">
      <c r="A56" s="104"/>
      <c r="B56" s="104"/>
      <c r="C56" s="104"/>
      <c r="D56" s="104"/>
      <c r="E56" s="104"/>
      <c r="F56" s="104"/>
      <c r="G56" s="104"/>
      <c r="H56" s="104"/>
      <c r="I56" s="105"/>
    </row>
    <row r="57" spans="1:9">
      <c r="A57" s="111" t="s">
        <v>77</v>
      </c>
      <c r="B57" s="111"/>
      <c r="C57" s="111"/>
      <c r="D57" s="111"/>
      <c r="E57" s="111"/>
      <c r="F57" s="111"/>
      <c r="G57" s="111"/>
      <c r="H57" s="111"/>
      <c r="I57" s="111"/>
    </row>
    <row r="58" spans="1:9">
      <c r="A58" s="92" t="s">
        <v>78</v>
      </c>
      <c r="B58" s="92"/>
      <c r="C58" s="92"/>
      <c r="D58" s="92"/>
      <c r="E58" s="92"/>
      <c r="F58" s="92"/>
      <c r="G58" s="92"/>
      <c r="H58" s="92"/>
      <c r="I58" s="1" t="s">
        <v>41</v>
      </c>
    </row>
    <row r="59" spans="1:9">
      <c r="A59" s="1" t="s">
        <v>79</v>
      </c>
      <c r="B59" s="95" t="s">
        <v>80</v>
      </c>
      <c r="C59" s="95"/>
      <c r="D59" s="95"/>
      <c r="E59" s="95"/>
      <c r="F59" s="95"/>
      <c r="G59" s="95"/>
      <c r="H59" s="95"/>
      <c r="I59" s="18">
        <f>I35</f>
        <v>274.38</v>
      </c>
    </row>
    <row r="60" spans="1:9">
      <c r="A60" s="1" t="s">
        <v>81</v>
      </c>
      <c r="B60" s="95" t="s">
        <v>82</v>
      </c>
      <c r="C60" s="95"/>
      <c r="D60" s="95"/>
      <c r="E60" s="95"/>
      <c r="F60" s="95"/>
      <c r="G60" s="95"/>
      <c r="H60" s="95"/>
      <c r="I60" s="18">
        <f>I46</f>
        <v>989.83</v>
      </c>
    </row>
    <row r="61" spans="1:9">
      <c r="A61" s="1" t="s">
        <v>83</v>
      </c>
      <c r="B61" s="95" t="s">
        <v>84</v>
      </c>
      <c r="C61" s="95"/>
      <c r="D61" s="95"/>
      <c r="E61" s="95"/>
      <c r="F61" s="95"/>
      <c r="G61" s="95"/>
      <c r="H61" s="95"/>
      <c r="I61" s="18">
        <f>I55</f>
        <v>369.25</v>
      </c>
    </row>
    <row r="62" spans="1:9">
      <c r="A62" s="92" t="s">
        <v>85</v>
      </c>
      <c r="B62" s="92"/>
      <c r="C62" s="92"/>
      <c r="D62" s="92"/>
      <c r="E62" s="92"/>
      <c r="F62" s="92"/>
      <c r="G62" s="92"/>
      <c r="H62" s="92"/>
      <c r="I62" s="14">
        <f>TRUNC(SUM(I59:I61),2)</f>
        <v>1633.46</v>
      </c>
    </row>
    <row r="63" spans="1:9">
      <c r="A63" s="112"/>
      <c r="B63" s="113"/>
      <c r="C63" s="113"/>
      <c r="D63" s="113"/>
      <c r="E63" s="113"/>
      <c r="F63" s="113"/>
      <c r="G63" s="113"/>
      <c r="H63" s="113"/>
      <c r="I63" s="113"/>
    </row>
    <row r="64" spans="1:9">
      <c r="A64" s="93" t="s">
        <v>86</v>
      </c>
      <c r="B64" s="93"/>
      <c r="C64" s="93"/>
      <c r="D64" s="93"/>
      <c r="E64" s="93"/>
      <c r="F64" s="93"/>
      <c r="G64" s="93"/>
      <c r="H64" s="93"/>
      <c r="I64" s="93"/>
    </row>
    <row r="65" spans="1:11">
      <c r="A65" s="1">
        <v>3</v>
      </c>
      <c r="B65" s="92" t="s">
        <v>87</v>
      </c>
      <c r="C65" s="92"/>
      <c r="D65" s="92"/>
      <c r="E65" s="92"/>
      <c r="F65" s="92"/>
      <c r="G65" s="92"/>
      <c r="H65" s="1" t="s">
        <v>40</v>
      </c>
      <c r="I65" s="1" t="s">
        <v>41</v>
      </c>
    </row>
    <row r="66" spans="1:11">
      <c r="A66" s="1" t="s">
        <v>13</v>
      </c>
      <c r="B66" s="94" t="s">
        <v>88</v>
      </c>
      <c r="C66" s="94"/>
      <c r="D66" s="94"/>
      <c r="E66" s="94"/>
      <c r="F66" s="94"/>
      <c r="G66" s="94"/>
      <c r="H66" s="19">
        <v>4.5999999999999999E-3</v>
      </c>
      <c r="I66" s="18">
        <f>($I$29+$I$35+$I$45+$I$55)*H66</f>
        <v>15.061377040000002</v>
      </c>
    </row>
    <row r="67" spans="1:11">
      <c r="A67" s="1" t="s">
        <v>16</v>
      </c>
      <c r="B67" s="94" t="s">
        <v>89</v>
      </c>
      <c r="C67" s="94"/>
      <c r="D67" s="94"/>
      <c r="E67" s="94"/>
      <c r="F67" s="94"/>
      <c r="G67" s="94"/>
      <c r="H67" s="19">
        <v>4.0000000000000002E-4</v>
      </c>
      <c r="I67" s="18">
        <f>H67*($I$29+$I$35)</f>
        <v>1.0759120000000002</v>
      </c>
    </row>
    <row r="68" spans="1:11">
      <c r="A68" s="1" t="s">
        <v>19</v>
      </c>
      <c r="B68" s="94" t="s">
        <v>90</v>
      </c>
      <c r="C68" s="94"/>
      <c r="D68" s="94"/>
      <c r="E68" s="94"/>
      <c r="F68" s="94"/>
      <c r="G68" s="94"/>
      <c r="H68" s="19">
        <v>1.6000000000000001E-3</v>
      </c>
      <c r="I68" s="18">
        <f>($I$29+$I$35)*H68</f>
        <v>4.3036480000000008</v>
      </c>
    </row>
    <row r="69" spans="1:11">
      <c r="A69" s="1" t="s">
        <v>21</v>
      </c>
      <c r="B69" s="94" t="s">
        <v>91</v>
      </c>
      <c r="C69" s="94"/>
      <c r="D69" s="94"/>
      <c r="E69" s="94"/>
      <c r="F69" s="94"/>
      <c r="G69" s="94"/>
      <c r="H69" s="19">
        <v>1.9400000000000001E-2</v>
      </c>
      <c r="I69" s="18">
        <f>($I$29+$I$62)*H69</f>
        <v>78.54788400000001</v>
      </c>
    </row>
    <row r="70" spans="1:11">
      <c r="A70" s="1" t="s">
        <v>47</v>
      </c>
      <c r="B70" s="114" t="s">
        <v>92</v>
      </c>
      <c r="C70" s="114"/>
      <c r="D70" s="114"/>
      <c r="E70" s="114"/>
      <c r="F70" s="114"/>
      <c r="G70" s="114"/>
      <c r="H70" s="75">
        <f>H46*H69</f>
        <v>7.1392000000000009E-3</v>
      </c>
      <c r="I70" s="76">
        <f>($I$29+$I$35)*H70</f>
        <v>19.202877376000004</v>
      </c>
    </row>
    <row r="71" spans="1:11">
      <c r="A71" s="1" t="s">
        <v>49</v>
      </c>
      <c r="B71" s="94" t="s">
        <v>93</v>
      </c>
      <c r="C71" s="94"/>
      <c r="D71" s="94"/>
      <c r="E71" s="94"/>
      <c r="F71" s="94"/>
      <c r="G71" s="94"/>
      <c r="H71" s="19">
        <v>3.8399999999999997E-2</v>
      </c>
      <c r="I71" s="18">
        <f>($I$29+$I$35)*H71</f>
        <v>103.28755200000001</v>
      </c>
    </row>
    <row r="72" spans="1:11">
      <c r="A72" s="92" t="s">
        <v>94</v>
      </c>
      <c r="B72" s="92"/>
      <c r="C72" s="92"/>
      <c r="D72" s="92"/>
      <c r="E72" s="92"/>
      <c r="F72" s="92"/>
      <c r="G72" s="92"/>
      <c r="H72" s="12">
        <f>TRUNC(SUM(H66:H71),4)</f>
        <v>7.1499999999999994E-2</v>
      </c>
      <c r="I72" s="14">
        <f>TRUNC(SUM(I66:I71),2)</f>
        <v>221.47</v>
      </c>
    </row>
    <row r="73" spans="1:11">
      <c r="A73" s="115"/>
      <c r="B73" s="116"/>
      <c r="C73" s="116"/>
      <c r="D73" s="116"/>
      <c r="E73" s="116"/>
      <c r="F73" s="116"/>
      <c r="G73" s="116"/>
      <c r="H73" s="116"/>
      <c r="I73" s="116"/>
    </row>
    <row r="74" spans="1:11">
      <c r="A74" s="93" t="s">
        <v>95</v>
      </c>
      <c r="B74" s="93"/>
      <c r="C74" s="93"/>
      <c r="D74" s="93"/>
      <c r="E74" s="93"/>
      <c r="F74" s="93"/>
      <c r="G74" s="93"/>
      <c r="H74" s="93"/>
      <c r="I74" s="93"/>
      <c r="J74" s="16" t="s">
        <v>96</v>
      </c>
      <c r="K74" s="32">
        <f>I29+I62+I72</f>
        <v>4270.33</v>
      </c>
    </row>
    <row r="75" spans="1:11">
      <c r="A75" s="92" t="s">
        <v>97</v>
      </c>
      <c r="B75" s="92"/>
      <c r="C75" s="92"/>
      <c r="D75" s="92"/>
      <c r="E75" s="92"/>
      <c r="F75" s="92"/>
      <c r="G75" s="92"/>
      <c r="H75" s="1" t="s">
        <v>40</v>
      </c>
      <c r="I75" s="1" t="s">
        <v>41</v>
      </c>
    </row>
    <row r="76" spans="1:11">
      <c r="A76" s="1" t="s">
        <v>13</v>
      </c>
      <c r="B76" s="94" t="s">
        <v>98</v>
      </c>
      <c r="C76" s="94"/>
      <c r="D76" s="94"/>
      <c r="E76" s="94"/>
      <c r="F76" s="94"/>
      <c r="G76" s="94"/>
      <c r="H76" s="19">
        <v>8.3299999999999999E-2</v>
      </c>
      <c r="I76" s="18">
        <f>H76*$K$74</f>
        <v>355.71848899999998</v>
      </c>
    </row>
    <row r="77" spans="1:11">
      <c r="A77" s="1" t="s">
        <v>16</v>
      </c>
      <c r="B77" s="94" t="s">
        <v>99</v>
      </c>
      <c r="C77" s="94"/>
      <c r="D77" s="94"/>
      <c r="E77" s="94"/>
      <c r="F77" s="94"/>
      <c r="G77" s="94"/>
      <c r="H77" s="19">
        <v>2.8E-3</v>
      </c>
      <c r="I77" s="18">
        <f t="shared" ref="I77:I81" si="1">H77*$K$74</f>
        <v>11.956923999999999</v>
      </c>
    </row>
    <row r="78" spans="1:11">
      <c r="A78" s="1" t="s">
        <v>19</v>
      </c>
      <c r="B78" s="94" t="s">
        <v>100</v>
      </c>
      <c r="C78" s="94"/>
      <c r="D78" s="94"/>
      <c r="E78" s="94"/>
      <c r="F78" s="94"/>
      <c r="G78" s="94"/>
      <c r="H78" s="19">
        <v>8.0000000000000004E-4</v>
      </c>
      <c r="I78" s="18">
        <f t="shared" si="1"/>
        <v>3.416264</v>
      </c>
    </row>
    <row r="79" spans="1:11">
      <c r="A79" s="1" t="s">
        <v>21</v>
      </c>
      <c r="B79" s="94" t="s">
        <v>101</v>
      </c>
      <c r="C79" s="94"/>
      <c r="D79" s="94"/>
      <c r="E79" s="94"/>
      <c r="F79" s="94"/>
      <c r="G79" s="94"/>
      <c r="H79" s="19">
        <v>2.7000000000000001E-3</v>
      </c>
      <c r="I79" s="18">
        <f t="shared" si="1"/>
        <v>11.529891000000001</v>
      </c>
    </row>
    <row r="80" spans="1:11">
      <c r="A80" s="1" t="s">
        <v>47</v>
      </c>
      <c r="B80" s="94" t="s">
        <v>102</v>
      </c>
      <c r="C80" s="94"/>
      <c r="D80" s="94"/>
      <c r="E80" s="94"/>
      <c r="F80" s="94"/>
      <c r="G80" s="94"/>
      <c r="H80" s="19">
        <v>6.9999999999999999E-4</v>
      </c>
      <c r="I80" s="18">
        <f t="shared" si="1"/>
        <v>2.9892309999999997</v>
      </c>
      <c r="K80" s="58"/>
    </row>
    <row r="81" spans="1:11">
      <c r="A81" s="1" t="s">
        <v>49</v>
      </c>
      <c r="B81" s="94" t="s">
        <v>103</v>
      </c>
      <c r="C81" s="94"/>
      <c r="D81" s="94"/>
      <c r="E81" s="94"/>
      <c r="F81" s="94"/>
      <c r="G81" s="94"/>
      <c r="H81" s="19">
        <v>1.66E-2</v>
      </c>
      <c r="I81" s="18">
        <f t="shared" si="1"/>
        <v>70.887478000000002</v>
      </c>
      <c r="K81" s="59"/>
    </row>
    <row r="82" spans="1:11">
      <c r="A82" s="92" t="s">
        <v>104</v>
      </c>
      <c r="B82" s="92"/>
      <c r="C82" s="92"/>
      <c r="D82" s="92"/>
      <c r="E82" s="92"/>
      <c r="F82" s="92"/>
      <c r="G82" s="92"/>
      <c r="H82" s="12">
        <f>TRUNC(SUM(H76:H81),4)</f>
        <v>0.1069</v>
      </c>
      <c r="I82" s="14">
        <f>TRUNC(SUM(I76:I81),2)</f>
        <v>456.49</v>
      </c>
      <c r="K82" s="59"/>
    </row>
    <row r="83" spans="1:11">
      <c r="A83" s="117"/>
      <c r="B83" s="118"/>
      <c r="C83" s="118"/>
      <c r="D83" s="118"/>
      <c r="E83" s="118"/>
      <c r="F83" s="118"/>
      <c r="G83" s="118"/>
      <c r="H83" s="118"/>
      <c r="I83" s="118"/>
    </row>
    <row r="84" spans="1:11">
      <c r="A84" s="92" t="s">
        <v>105</v>
      </c>
      <c r="B84" s="92"/>
      <c r="C84" s="92"/>
      <c r="D84" s="92"/>
      <c r="E84" s="92"/>
      <c r="F84" s="92"/>
      <c r="G84" s="92"/>
      <c r="H84" s="1" t="s">
        <v>40</v>
      </c>
      <c r="I84" s="1" t="s">
        <v>41</v>
      </c>
    </row>
    <row r="85" spans="1:11">
      <c r="A85" s="1" t="s">
        <v>13</v>
      </c>
      <c r="B85" s="94" t="s">
        <v>106</v>
      </c>
      <c r="C85" s="94"/>
      <c r="D85" s="94"/>
      <c r="E85" s="94"/>
      <c r="F85" s="94"/>
      <c r="G85" s="94"/>
      <c r="H85" s="19">
        <v>0.5</v>
      </c>
      <c r="I85" s="18">
        <f>((((I29)/220))*1.5)*15</f>
        <v>247.02954545454546</v>
      </c>
    </row>
    <row r="86" spans="1:11">
      <c r="A86" s="92" t="s">
        <v>107</v>
      </c>
      <c r="B86" s="92"/>
      <c r="C86" s="92"/>
      <c r="D86" s="92"/>
      <c r="E86" s="92"/>
      <c r="F86" s="92"/>
      <c r="G86" s="92"/>
      <c r="H86" s="12">
        <f>TRUNC(SUM(H85),4)</f>
        <v>0.5</v>
      </c>
      <c r="I86" s="14">
        <f>TRUNC(SUM(I85),2)</f>
        <v>247.02</v>
      </c>
    </row>
    <row r="87" spans="1:11">
      <c r="A87" s="119"/>
      <c r="B87" s="120"/>
      <c r="C87" s="120"/>
      <c r="D87" s="120"/>
      <c r="E87" s="120"/>
      <c r="F87" s="120"/>
      <c r="G87" s="120"/>
      <c r="H87" s="120"/>
      <c r="I87" s="120"/>
    </row>
    <row r="88" spans="1:11">
      <c r="A88" s="111" t="s">
        <v>108</v>
      </c>
      <c r="B88" s="111"/>
      <c r="C88" s="111"/>
      <c r="D88" s="111"/>
      <c r="E88" s="111"/>
      <c r="F88" s="111"/>
      <c r="G88" s="111"/>
      <c r="H88" s="111"/>
      <c r="I88" s="111"/>
    </row>
    <row r="89" spans="1:11">
      <c r="A89" s="92" t="s">
        <v>109</v>
      </c>
      <c r="B89" s="92"/>
      <c r="C89" s="92"/>
      <c r="D89" s="92"/>
      <c r="E89" s="92"/>
      <c r="F89" s="92"/>
      <c r="G89" s="92"/>
      <c r="H89" s="92"/>
      <c r="I89" s="1" t="s">
        <v>41</v>
      </c>
    </row>
    <row r="90" spans="1:11">
      <c r="A90" s="1" t="s">
        <v>110</v>
      </c>
      <c r="B90" s="95" t="s">
        <v>111</v>
      </c>
      <c r="C90" s="95"/>
      <c r="D90" s="95"/>
      <c r="E90" s="95"/>
      <c r="F90" s="95"/>
      <c r="G90" s="95"/>
      <c r="H90" s="95"/>
      <c r="I90" s="18">
        <f>I82</f>
        <v>456.49</v>
      </c>
    </row>
    <row r="91" spans="1:11">
      <c r="A91" s="1" t="s">
        <v>112</v>
      </c>
      <c r="B91" s="95" t="s">
        <v>113</v>
      </c>
      <c r="C91" s="95"/>
      <c r="D91" s="95"/>
      <c r="E91" s="95"/>
      <c r="F91" s="95"/>
      <c r="G91" s="95"/>
      <c r="H91" s="95"/>
      <c r="I91" s="18">
        <f>I86</f>
        <v>247.02</v>
      </c>
    </row>
    <row r="92" spans="1:11">
      <c r="A92" s="92" t="s">
        <v>114</v>
      </c>
      <c r="B92" s="92"/>
      <c r="C92" s="92"/>
      <c r="D92" s="92"/>
      <c r="E92" s="92"/>
      <c r="F92" s="92"/>
      <c r="G92" s="92"/>
      <c r="H92" s="92"/>
      <c r="I92" s="14">
        <f>TRUNC(SUM(I90:I91),2)</f>
        <v>703.51</v>
      </c>
    </row>
    <row r="93" spans="1:11">
      <c r="A93" s="112"/>
      <c r="B93" s="113"/>
      <c r="C93" s="113"/>
      <c r="D93" s="113"/>
      <c r="E93" s="113"/>
      <c r="F93" s="113"/>
      <c r="G93" s="113"/>
      <c r="H93" s="113"/>
      <c r="I93" s="113"/>
    </row>
    <row r="94" spans="1:11">
      <c r="A94" s="93" t="s">
        <v>115</v>
      </c>
      <c r="B94" s="93"/>
      <c r="C94" s="93"/>
      <c r="D94" s="93"/>
      <c r="E94" s="93"/>
      <c r="F94" s="93"/>
      <c r="G94" s="93"/>
      <c r="H94" s="93"/>
      <c r="I94" s="93"/>
    </row>
    <row r="95" spans="1:11">
      <c r="A95" s="1">
        <v>5</v>
      </c>
      <c r="B95" s="92" t="s">
        <v>116</v>
      </c>
      <c r="C95" s="92"/>
      <c r="D95" s="92"/>
      <c r="E95" s="92"/>
      <c r="F95" s="92"/>
      <c r="G95" s="92"/>
      <c r="H95" s="1"/>
      <c r="I95" s="1" t="s">
        <v>41</v>
      </c>
    </row>
    <row r="96" spans="1:11">
      <c r="A96" s="1" t="s">
        <v>13</v>
      </c>
      <c r="B96" s="106" t="s">
        <v>117</v>
      </c>
      <c r="C96" s="107"/>
      <c r="D96" s="107"/>
      <c r="E96" s="107"/>
      <c r="F96" s="107"/>
      <c r="G96" s="107"/>
      <c r="H96" s="2" t="s">
        <v>15</v>
      </c>
      <c r="I96" s="18">
        <f>'Memórias de Cálculo'!D14</f>
        <v>82.545833333333348</v>
      </c>
    </row>
    <row r="97" spans="1:9">
      <c r="A97" s="1" t="s">
        <v>16</v>
      </c>
      <c r="B97" s="107" t="s">
        <v>176</v>
      </c>
      <c r="C97" s="107"/>
      <c r="D97" s="107"/>
      <c r="E97" s="107"/>
      <c r="F97" s="107"/>
      <c r="G97" s="107"/>
      <c r="H97" s="2" t="s">
        <v>15</v>
      </c>
      <c r="I97" s="18">
        <f>'Memórias de Cálculo'!D40</f>
        <v>41.927520833333332</v>
      </c>
    </row>
    <row r="98" spans="1:9">
      <c r="A98" s="13" t="s">
        <v>19</v>
      </c>
      <c r="B98" s="107" t="s">
        <v>119</v>
      </c>
      <c r="C98" s="107"/>
      <c r="D98" s="107"/>
      <c r="E98" s="107"/>
      <c r="F98" s="107"/>
      <c r="G98" s="107"/>
      <c r="H98" s="2" t="s">
        <v>15</v>
      </c>
      <c r="I98" s="18" t="s">
        <v>15</v>
      </c>
    </row>
    <row r="99" spans="1:9">
      <c r="A99" s="13" t="s">
        <v>21</v>
      </c>
      <c r="B99" s="107" t="s">
        <v>120</v>
      </c>
      <c r="C99" s="107"/>
      <c r="D99" s="107"/>
      <c r="E99" s="107"/>
      <c r="F99" s="107"/>
      <c r="G99" s="107"/>
      <c r="H99" s="2" t="s">
        <v>15</v>
      </c>
      <c r="I99" s="18" t="s">
        <v>15</v>
      </c>
    </row>
    <row r="100" spans="1:9">
      <c r="A100" s="92" t="s">
        <v>121</v>
      </c>
      <c r="B100" s="92"/>
      <c r="C100" s="92"/>
      <c r="D100" s="92"/>
      <c r="E100" s="92"/>
      <c r="F100" s="92"/>
      <c r="G100" s="92"/>
      <c r="H100" s="12" t="s">
        <v>15</v>
      </c>
      <c r="I100" s="14">
        <f>TRUNC(SUM(I96:I99),2)</f>
        <v>124.47</v>
      </c>
    </row>
    <row r="101" spans="1:9">
      <c r="A101" s="112"/>
      <c r="B101" s="113"/>
      <c r="C101" s="113"/>
      <c r="D101" s="113"/>
      <c r="E101" s="113"/>
      <c r="F101" s="113"/>
      <c r="G101" s="113"/>
      <c r="H101" s="113"/>
      <c r="I101" s="113"/>
    </row>
    <row r="102" spans="1:9">
      <c r="A102" s="93" t="s">
        <v>122</v>
      </c>
      <c r="B102" s="93"/>
      <c r="C102" s="93"/>
      <c r="D102" s="93"/>
      <c r="E102" s="93"/>
      <c r="F102" s="93"/>
      <c r="G102" s="93"/>
      <c r="H102" s="93"/>
      <c r="I102" s="93"/>
    </row>
    <row r="103" spans="1:9">
      <c r="A103" s="1">
        <v>6</v>
      </c>
      <c r="B103" s="92" t="s">
        <v>123</v>
      </c>
      <c r="C103" s="92"/>
      <c r="D103" s="92"/>
      <c r="E103" s="92"/>
      <c r="F103" s="92"/>
      <c r="G103" s="92"/>
      <c r="H103" s="1" t="s">
        <v>40</v>
      </c>
      <c r="I103" s="1" t="s">
        <v>41</v>
      </c>
    </row>
    <row r="104" spans="1:9">
      <c r="A104" s="1" t="s">
        <v>13</v>
      </c>
      <c r="B104" s="94" t="s">
        <v>124</v>
      </c>
      <c r="C104" s="94"/>
      <c r="D104" s="94"/>
      <c r="E104" s="94"/>
      <c r="F104" s="94"/>
      <c r="G104" s="94"/>
      <c r="H104" s="70">
        <v>0.06</v>
      </c>
      <c r="I104" s="18">
        <f>TRUNC(H104*I128,2)</f>
        <v>305.89</v>
      </c>
    </row>
    <row r="105" spans="1:9">
      <c r="A105" s="1" t="s">
        <v>16</v>
      </c>
      <c r="B105" s="94" t="s">
        <v>125</v>
      </c>
      <c r="C105" s="94"/>
      <c r="D105" s="94"/>
      <c r="E105" s="94"/>
      <c r="F105" s="94"/>
      <c r="G105" s="94"/>
      <c r="H105" s="55">
        <v>6.7900000000000002E-2</v>
      </c>
      <c r="I105" s="18">
        <f>TRUNC(H105*(I104+I128),2)</f>
        <v>366.94</v>
      </c>
    </row>
    <row r="106" spans="1:9">
      <c r="A106" s="1" t="s">
        <v>19</v>
      </c>
      <c r="B106" s="121" t="s">
        <v>126</v>
      </c>
      <c r="C106" s="121"/>
      <c r="D106" s="121"/>
      <c r="E106" s="121"/>
      <c r="F106" s="121"/>
      <c r="G106" s="121"/>
      <c r="H106" s="52"/>
      <c r="I106" s="28"/>
    </row>
    <row r="107" spans="1:9">
      <c r="A107" s="1" t="s">
        <v>127</v>
      </c>
      <c r="B107" s="94" t="s">
        <v>128</v>
      </c>
      <c r="C107" s="94"/>
      <c r="D107" s="94"/>
      <c r="E107" s="94"/>
      <c r="F107" s="94"/>
      <c r="G107" s="94"/>
      <c r="H107" s="56">
        <v>6.4999999999999997E-3</v>
      </c>
      <c r="I107" s="18">
        <f>H107*I117</f>
        <v>41.064464999999998</v>
      </c>
    </row>
    <row r="108" spans="1:9">
      <c r="A108" s="1" t="s">
        <v>129</v>
      </c>
      <c r="B108" s="94" t="s">
        <v>130</v>
      </c>
      <c r="C108" s="94"/>
      <c r="D108" s="94"/>
      <c r="E108" s="94"/>
      <c r="F108" s="94"/>
      <c r="G108" s="94"/>
      <c r="H108" s="56">
        <v>0.03</v>
      </c>
      <c r="I108" s="18">
        <f>H108*I117</f>
        <v>189.52829999999997</v>
      </c>
    </row>
    <row r="109" spans="1:9">
      <c r="A109" s="1" t="s">
        <v>131</v>
      </c>
      <c r="B109" s="94" t="s">
        <v>132</v>
      </c>
      <c r="C109" s="94"/>
      <c r="D109" s="94"/>
      <c r="E109" s="94"/>
      <c r="F109" s="94"/>
      <c r="G109" s="94"/>
      <c r="H109" s="57">
        <v>0.05</v>
      </c>
      <c r="I109" s="18">
        <f>H109*I117</f>
        <v>315.88049999999998</v>
      </c>
    </row>
    <row r="110" spans="1:9">
      <c r="A110" s="92" t="s">
        <v>133</v>
      </c>
      <c r="B110" s="92"/>
      <c r="C110" s="92"/>
      <c r="D110" s="92"/>
      <c r="E110" s="92"/>
      <c r="F110" s="92"/>
      <c r="G110" s="92"/>
      <c r="H110" s="56"/>
      <c r="I110" s="14">
        <f>TRUNC(SUM(I104:I109),2)</f>
        <v>1219.3</v>
      </c>
    </row>
    <row r="111" spans="1:9">
      <c r="A111" s="9"/>
      <c r="B111" s="122"/>
      <c r="C111" s="122"/>
      <c r="D111" s="122"/>
      <c r="E111" s="122"/>
      <c r="F111" s="122"/>
      <c r="G111" s="122"/>
      <c r="H111" s="122"/>
      <c r="I111" s="122"/>
    </row>
    <row r="112" spans="1:9">
      <c r="A112" s="20" t="s">
        <v>134</v>
      </c>
      <c r="B112" s="123" t="s">
        <v>135</v>
      </c>
      <c r="C112" s="123"/>
      <c r="D112" s="123"/>
      <c r="E112" s="123"/>
      <c r="F112" s="123"/>
      <c r="G112" s="123"/>
      <c r="H112" s="21">
        <f>TRUNC(H107+H108+H109,4)</f>
        <v>8.6499999999999994E-2</v>
      </c>
      <c r="I112" s="29"/>
    </row>
    <row r="113" spans="1:11">
      <c r="A113" s="22"/>
      <c r="B113" s="124">
        <v>100</v>
      </c>
      <c r="C113" s="124"/>
      <c r="D113" s="124"/>
      <c r="E113" s="124"/>
      <c r="F113" s="124"/>
      <c r="G113" s="124"/>
      <c r="H113" s="24"/>
      <c r="I113" s="30"/>
    </row>
    <row r="114" spans="1:11">
      <c r="A114" s="25"/>
      <c r="B114" s="23"/>
      <c r="C114" s="23"/>
      <c r="D114" s="23"/>
      <c r="E114" s="23"/>
      <c r="F114" s="23"/>
      <c r="G114" s="23"/>
      <c r="H114" s="24"/>
      <c r="I114" s="30"/>
    </row>
    <row r="115" spans="1:11">
      <c r="A115" s="22" t="s">
        <v>136</v>
      </c>
      <c r="B115" s="124" t="s">
        <v>137</v>
      </c>
      <c r="C115" s="124"/>
      <c r="D115" s="124"/>
      <c r="E115" s="124"/>
      <c r="F115" s="124"/>
      <c r="G115" s="124"/>
      <c r="H115" s="24"/>
      <c r="I115" s="30">
        <f>TRUNC(I128+I104+I105,2)</f>
        <v>5771.14</v>
      </c>
    </row>
    <row r="116" spans="1:11">
      <c r="A116" s="22"/>
      <c r="B116" s="23"/>
      <c r="C116" s="23"/>
      <c r="D116" s="23"/>
      <c r="E116" s="23"/>
      <c r="F116" s="23"/>
      <c r="G116" s="23"/>
      <c r="H116" s="24"/>
      <c r="I116" s="30"/>
    </row>
    <row r="117" spans="1:11">
      <c r="A117" s="22" t="s">
        <v>138</v>
      </c>
      <c r="B117" s="124" t="s">
        <v>139</v>
      </c>
      <c r="C117" s="124"/>
      <c r="D117" s="124"/>
      <c r="E117" s="124"/>
      <c r="F117" s="124"/>
      <c r="G117" s="124"/>
      <c r="H117" s="24"/>
      <c r="I117" s="30">
        <f>TRUNC(I115/(1-H112),2)</f>
        <v>6317.61</v>
      </c>
    </row>
    <row r="118" spans="1:11">
      <c r="A118" s="22"/>
      <c r="B118" s="23"/>
      <c r="C118" s="23"/>
      <c r="D118" s="23"/>
      <c r="E118" s="23"/>
      <c r="F118" s="23"/>
      <c r="G118" s="23"/>
      <c r="H118" s="24"/>
      <c r="I118" s="30"/>
    </row>
    <row r="119" spans="1:11">
      <c r="A119" s="26"/>
      <c r="B119" s="125" t="s">
        <v>140</v>
      </c>
      <c r="C119" s="125"/>
      <c r="D119" s="125"/>
      <c r="E119" s="125"/>
      <c r="F119" s="125"/>
      <c r="G119" s="125"/>
      <c r="H119" s="27"/>
      <c r="I119" s="31">
        <f>TRUNC(I117-I115,2)</f>
        <v>546.46</v>
      </c>
      <c r="K119" s="58"/>
    </row>
    <row r="120" spans="1:11">
      <c r="A120" s="9"/>
      <c r="B120" s="9"/>
      <c r="C120" s="9"/>
      <c r="D120" s="9"/>
      <c r="E120" s="9"/>
      <c r="F120" s="9"/>
      <c r="G120" s="9"/>
      <c r="H120" s="9"/>
      <c r="I120" s="15"/>
    </row>
    <row r="121" spans="1:11">
      <c r="A121" s="111" t="s">
        <v>141</v>
      </c>
      <c r="B121" s="111"/>
      <c r="C121" s="111"/>
      <c r="D121" s="111"/>
      <c r="E121" s="111"/>
      <c r="F121" s="111"/>
      <c r="G121" s="111"/>
      <c r="H121" s="111"/>
      <c r="I121" s="111"/>
      <c r="K121" s="32"/>
    </row>
    <row r="122" spans="1:11">
      <c r="A122" s="92" t="s">
        <v>142</v>
      </c>
      <c r="B122" s="92"/>
      <c r="C122" s="92"/>
      <c r="D122" s="92"/>
      <c r="E122" s="92"/>
      <c r="F122" s="92"/>
      <c r="G122" s="92"/>
      <c r="H122" s="92"/>
      <c r="I122" s="1" t="s">
        <v>41</v>
      </c>
    </row>
    <row r="123" spans="1:11">
      <c r="A123" s="2" t="s">
        <v>13</v>
      </c>
      <c r="B123" s="94" t="str">
        <f>A21</f>
        <v>MÓDULO 1 - COMPOSIÇÃO DA REMUNERAÇÃO</v>
      </c>
      <c r="C123" s="94"/>
      <c r="D123" s="94"/>
      <c r="E123" s="94"/>
      <c r="F123" s="94"/>
      <c r="G123" s="94"/>
      <c r="H123" s="94"/>
      <c r="I123" s="18">
        <f>I29</f>
        <v>2415.4</v>
      </c>
    </row>
    <row r="124" spans="1:11">
      <c r="A124" s="2" t="s">
        <v>16</v>
      </c>
      <c r="B124" s="94" t="str">
        <f>A31</f>
        <v>MÓDULO 2 – ENCARGOS E BENEFÍCIOS ANUAIS, MENSAIS E DIÁRIOS</v>
      </c>
      <c r="C124" s="94"/>
      <c r="D124" s="94"/>
      <c r="E124" s="94"/>
      <c r="F124" s="94"/>
      <c r="G124" s="94"/>
      <c r="H124" s="94"/>
      <c r="I124" s="18">
        <f>I62</f>
        <v>1633.46</v>
      </c>
    </row>
    <row r="125" spans="1:11">
      <c r="A125" s="2" t="s">
        <v>19</v>
      </c>
      <c r="B125" s="94" t="str">
        <f>A64</f>
        <v>MÓDULO 3 – PROVISÃO PARA RESCISÃO</v>
      </c>
      <c r="C125" s="94"/>
      <c r="D125" s="94"/>
      <c r="E125" s="94"/>
      <c r="F125" s="94"/>
      <c r="G125" s="94"/>
      <c r="H125" s="94"/>
      <c r="I125" s="18">
        <f>I72</f>
        <v>221.47</v>
      </c>
      <c r="K125" s="32"/>
    </row>
    <row r="126" spans="1:11">
      <c r="A126" s="2" t="s">
        <v>21</v>
      </c>
      <c r="B126" s="94" t="str">
        <f>A74</f>
        <v>MÓDULO 4 – CUSTO DE REPOSIÇÃO DO PROFISSIONAL AUSENTE</v>
      </c>
      <c r="C126" s="94"/>
      <c r="D126" s="94"/>
      <c r="E126" s="94"/>
      <c r="F126" s="94"/>
      <c r="G126" s="94"/>
      <c r="H126" s="94"/>
      <c r="I126" s="18">
        <f>I92</f>
        <v>703.51</v>
      </c>
      <c r="K126" s="32"/>
    </row>
    <row r="127" spans="1:11">
      <c r="A127" s="2" t="s">
        <v>47</v>
      </c>
      <c r="B127" s="94" t="str">
        <f>A94</f>
        <v>MÓDULO 5 – INSUMOS DIVERSOS</v>
      </c>
      <c r="C127" s="94"/>
      <c r="D127" s="94"/>
      <c r="E127" s="94"/>
      <c r="F127" s="94"/>
      <c r="G127" s="94"/>
      <c r="H127" s="94"/>
      <c r="I127" s="18">
        <f>I100</f>
        <v>124.47</v>
      </c>
    </row>
    <row r="128" spans="1:11">
      <c r="A128" s="1"/>
      <c r="B128" s="92" t="s">
        <v>143</v>
      </c>
      <c r="C128" s="92"/>
      <c r="D128" s="92"/>
      <c r="E128" s="92"/>
      <c r="F128" s="92"/>
      <c r="G128" s="92"/>
      <c r="H128" s="92"/>
      <c r="I128" s="14">
        <f>TRUNC(SUM(I123:I127),2)</f>
        <v>5098.3100000000004</v>
      </c>
      <c r="K128" s="58"/>
    </row>
    <row r="129" spans="1:18">
      <c r="A129" s="2" t="s">
        <v>49</v>
      </c>
      <c r="B129" s="94" t="str">
        <f>A102</f>
        <v>MÓDULO 6 – CUSTOS INDIRETOS, TRIBUTOS E LUCRO</v>
      </c>
      <c r="C129" s="94"/>
      <c r="D129" s="94"/>
      <c r="E129" s="94"/>
      <c r="F129" s="94"/>
      <c r="G129" s="94"/>
      <c r="H129" s="94"/>
      <c r="I129" s="18">
        <f>I110</f>
        <v>1219.3</v>
      </c>
    </row>
    <row r="130" spans="1:18">
      <c r="A130" s="92" t="s">
        <v>144</v>
      </c>
      <c r="B130" s="92"/>
      <c r="C130" s="92"/>
      <c r="D130" s="92"/>
      <c r="E130" s="92"/>
      <c r="F130" s="92"/>
      <c r="G130" s="92"/>
      <c r="H130" s="92"/>
      <c r="I130" s="14">
        <f>TRUNC(SUM(I128:I129),2)</f>
        <v>6317.61</v>
      </c>
    </row>
    <row r="131" spans="1:18">
      <c r="A131" s="95" t="s">
        <v>177</v>
      </c>
      <c r="B131" s="95"/>
      <c r="C131" s="95"/>
      <c r="D131" s="95"/>
      <c r="E131" s="95"/>
      <c r="F131" s="175">
        <v>0.34239999999999998</v>
      </c>
      <c r="G131" s="175"/>
      <c r="H131" s="175"/>
      <c r="I131" s="77">
        <f>I130*F131</f>
        <v>2163.1496639999996</v>
      </c>
      <c r="K131">
        <f>105.7/365</f>
        <v>0.2895890410958904</v>
      </c>
      <c r="L131">
        <f>I130*K131</f>
        <v>1829.5106219178081</v>
      </c>
      <c r="O131">
        <f>I130*F131</f>
        <v>2163.1496639999996</v>
      </c>
      <c r="R131" t="s">
        <v>178</v>
      </c>
    </row>
    <row r="132" spans="1:18" hidden="1">
      <c r="A132" s="9"/>
      <c r="B132" s="98" t="s">
        <v>146</v>
      </c>
      <c r="C132" s="98"/>
      <c r="D132" s="98"/>
      <c r="E132" s="98"/>
      <c r="F132" s="98"/>
      <c r="G132" s="98"/>
      <c r="H132" s="10"/>
      <c r="I132" s="10"/>
    </row>
    <row r="133" spans="1:18" ht="40.5" hidden="1" customHeight="1">
      <c r="A133" s="156" t="s">
        <v>147</v>
      </c>
      <c r="B133" s="157"/>
      <c r="C133" s="156" t="s">
        <v>148</v>
      </c>
      <c r="D133" s="157"/>
      <c r="E133" s="156" t="s">
        <v>149</v>
      </c>
      <c r="F133" s="157"/>
      <c r="G133" s="33" t="s">
        <v>150</v>
      </c>
      <c r="H133" s="34" t="s">
        <v>151</v>
      </c>
      <c r="I133" s="45" t="s">
        <v>41</v>
      </c>
    </row>
    <row r="134" spans="1:18" hidden="1">
      <c r="A134" s="158" t="s">
        <v>152</v>
      </c>
      <c r="B134" s="159"/>
      <c r="C134" s="160" t="s">
        <v>153</v>
      </c>
      <c r="D134" s="161"/>
      <c r="E134" s="162"/>
      <c r="F134" s="163"/>
      <c r="G134" s="35" t="s">
        <v>153</v>
      </c>
      <c r="H134" s="36"/>
      <c r="I134" s="46">
        <v>0</v>
      </c>
    </row>
    <row r="135" spans="1:18" hidden="1">
      <c r="A135" s="95" t="s">
        <v>154</v>
      </c>
      <c r="B135" s="127"/>
      <c r="C135" s="152" t="s">
        <v>153</v>
      </c>
      <c r="D135" s="153"/>
      <c r="E135" s="154"/>
      <c r="F135" s="155"/>
      <c r="G135" s="37" t="s">
        <v>153</v>
      </c>
      <c r="H135" s="38"/>
      <c r="I135" s="47">
        <v>0</v>
      </c>
    </row>
    <row r="136" spans="1:18" hidden="1">
      <c r="A136" s="95" t="s">
        <v>155</v>
      </c>
      <c r="B136" s="127"/>
      <c r="C136" s="152" t="s">
        <v>153</v>
      </c>
      <c r="D136" s="153"/>
      <c r="E136" s="154"/>
      <c r="F136" s="155"/>
      <c r="G136" s="37" t="s">
        <v>153</v>
      </c>
      <c r="H136" s="38"/>
      <c r="I136" s="47">
        <v>0</v>
      </c>
    </row>
    <row r="137" spans="1:18" hidden="1">
      <c r="A137" s="95" t="s">
        <v>156</v>
      </c>
      <c r="B137" s="127"/>
      <c r="C137" s="152" t="s">
        <v>153</v>
      </c>
      <c r="D137" s="153"/>
      <c r="E137" s="154"/>
      <c r="F137" s="155"/>
      <c r="G137" s="37" t="s">
        <v>153</v>
      </c>
      <c r="H137" s="38"/>
      <c r="I137" s="47">
        <v>0</v>
      </c>
    </row>
    <row r="138" spans="1:18" hidden="1">
      <c r="A138" s="174"/>
      <c r="B138" s="115"/>
      <c r="C138" s="154"/>
      <c r="D138" s="155"/>
      <c r="E138" s="154"/>
      <c r="F138" s="155"/>
      <c r="G138" s="39"/>
      <c r="H138" s="40"/>
      <c r="I138" s="47"/>
    </row>
    <row r="139" spans="1:18" ht="13.5" hidden="1" thickBot="1">
      <c r="A139" s="164"/>
      <c r="B139" s="165"/>
      <c r="C139" s="166"/>
      <c r="D139" s="167"/>
      <c r="E139" s="166"/>
      <c r="F139" s="167"/>
      <c r="G139" s="41"/>
      <c r="H139" s="42"/>
      <c r="I139" s="48"/>
    </row>
    <row r="140" spans="1:18" ht="13.5" hidden="1" thickBot="1">
      <c r="A140" s="168" t="s">
        <v>157</v>
      </c>
      <c r="B140" s="169"/>
      <c r="C140" s="169"/>
      <c r="D140" s="169"/>
      <c r="E140" s="169"/>
      <c r="F140" s="169"/>
      <c r="G140" s="169"/>
      <c r="H140" s="170"/>
      <c r="I140" s="49">
        <f>SUM(I138:I139)</f>
        <v>0</v>
      </c>
    </row>
    <row r="141" spans="1:18" hidden="1"/>
    <row r="142" spans="1:18" hidden="1">
      <c r="A142" s="9" t="s">
        <v>158</v>
      </c>
      <c r="B142" s="98" t="s">
        <v>159</v>
      </c>
      <c r="C142" s="98"/>
      <c r="D142" s="98"/>
      <c r="E142" s="98"/>
      <c r="F142" s="98"/>
      <c r="G142" s="98"/>
      <c r="H142" s="10"/>
      <c r="I142" s="10"/>
    </row>
    <row r="143" spans="1:18" ht="13.5" hidden="1" thickBot="1">
      <c r="A143" s="171" t="s">
        <v>160</v>
      </c>
      <c r="B143" s="172"/>
      <c r="C143" s="172"/>
      <c r="D143" s="172"/>
      <c r="E143" s="172"/>
      <c r="F143" s="172"/>
      <c r="G143" s="172"/>
      <c r="H143" s="172"/>
      <c r="I143" s="173"/>
    </row>
    <row r="144" spans="1:18" ht="13.5" hidden="1" thickBot="1">
      <c r="A144" s="43"/>
      <c r="B144" s="139" t="s">
        <v>161</v>
      </c>
      <c r="C144" s="140"/>
      <c r="D144" s="140"/>
      <c r="E144" s="140"/>
      <c r="F144" s="140"/>
      <c r="G144" s="140"/>
      <c r="H144" s="141"/>
      <c r="I144" s="45" t="s">
        <v>41</v>
      </c>
    </row>
    <row r="145" spans="1:9" hidden="1">
      <c r="A145" s="60" t="s">
        <v>13</v>
      </c>
      <c r="B145" s="142" t="s">
        <v>162</v>
      </c>
      <c r="C145" s="143"/>
      <c r="D145" s="143"/>
      <c r="E145" s="143"/>
      <c r="F145" s="143"/>
      <c r="G145" s="143"/>
      <c r="H145" s="144"/>
      <c r="I145" s="50">
        <f>I107</f>
        <v>41.064464999999998</v>
      </c>
    </row>
    <row r="146" spans="1:9" hidden="1">
      <c r="A146" s="44" t="s">
        <v>16</v>
      </c>
      <c r="B146" s="145" t="s">
        <v>163</v>
      </c>
      <c r="C146" s="109"/>
      <c r="D146" s="109"/>
      <c r="E146" s="109"/>
      <c r="F146" s="109"/>
      <c r="G146" s="109"/>
      <c r="H146" s="110"/>
      <c r="I146" s="51" t="e">
        <f>#REF!</f>
        <v>#REF!</v>
      </c>
    </row>
    <row r="147" spans="1:9" ht="13.5" hidden="1" thickBot="1">
      <c r="A147" s="44" t="s">
        <v>19</v>
      </c>
      <c r="B147" s="146" t="s">
        <v>164</v>
      </c>
      <c r="C147" s="147"/>
      <c r="D147" s="147"/>
      <c r="E147" s="147"/>
      <c r="F147" s="147"/>
      <c r="G147" s="147"/>
      <c r="H147" s="148"/>
      <c r="I147" s="51">
        <f>I110</f>
        <v>1219.3</v>
      </c>
    </row>
    <row r="148" spans="1:9" ht="13.5" hidden="1" thickBot="1">
      <c r="A148" s="149" t="s">
        <v>165</v>
      </c>
      <c r="B148" s="150"/>
      <c r="C148" s="150"/>
      <c r="D148" s="150"/>
      <c r="E148" s="150"/>
      <c r="F148" s="150"/>
      <c r="G148" s="150"/>
      <c r="H148" s="151"/>
      <c r="I148" s="49" t="e">
        <f>SUM(I145:I147)</f>
        <v>#REF!</v>
      </c>
    </row>
    <row r="149" spans="1:9" hidden="1">
      <c r="A149" s="9" t="s">
        <v>166</v>
      </c>
      <c r="B149" t="s">
        <v>167</v>
      </c>
    </row>
    <row r="150" spans="1:9" hidden="1"/>
    <row r="151" spans="1:9" hidden="1"/>
    <row r="152" spans="1:9">
      <c r="A152" s="100" t="s">
        <v>145</v>
      </c>
      <c r="B152" s="100"/>
      <c r="C152" s="100"/>
      <c r="D152" s="137">
        <v>2</v>
      </c>
      <c r="E152" s="137"/>
      <c r="F152" s="137"/>
      <c r="G152" s="137"/>
      <c r="H152" s="137"/>
      <c r="I152" s="137"/>
    </row>
    <row r="153" spans="1:9">
      <c r="A153" s="100" t="s">
        <v>179</v>
      </c>
      <c r="B153" s="100"/>
      <c r="C153" s="100"/>
      <c r="D153" s="138">
        <f>D152*I131</f>
        <v>4326.2993279999992</v>
      </c>
      <c r="E153" s="138"/>
      <c r="F153" s="138"/>
      <c r="G153" s="138"/>
      <c r="H153" s="138"/>
      <c r="I153" s="138"/>
    </row>
    <row r="155" spans="1:9" ht="68.25" customHeight="1">
      <c r="A155" s="130" t="s">
        <v>169</v>
      </c>
      <c r="B155" s="131"/>
      <c r="C155" s="131"/>
      <c r="D155" s="131"/>
      <c r="E155" s="131"/>
      <c r="F155" s="131"/>
      <c r="G155" s="131"/>
      <c r="H155" s="131"/>
      <c r="I155" s="131"/>
    </row>
    <row r="157" spans="1:9" ht="26.25" customHeight="1">
      <c r="A157" s="132" t="s">
        <v>180</v>
      </c>
      <c r="B157" s="133"/>
      <c r="C157" s="133"/>
      <c r="D157" s="133"/>
      <c r="E157" s="133"/>
      <c r="F157" s="133"/>
      <c r="G157" s="133"/>
      <c r="H157" s="133"/>
      <c r="I157" s="133"/>
    </row>
    <row r="160" spans="1:9">
      <c r="A160" s="16" t="s">
        <v>171</v>
      </c>
      <c r="B160" s="16">
        <f>I130/I123</f>
        <v>2.6155543595263722</v>
      </c>
    </row>
    <row r="161" spans="1:5">
      <c r="A161" s="32"/>
      <c r="B161" s="16"/>
      <c r="E161" s="59"/>
    </row>
    <row r="162" spans="1:5">
      <c r="A162" s="16" t="s">
        <v>172</v>
      </c>
      <c r="B162" s="16"/>
      <c r="C162" s="32">
        <v>8275.6200000000008</v>
      </c>
    </row>
    <row r="163" spans="1:5">
      <c r="A163" s="16" t="s">
        <v>173</v>
      </c>
      <c r="B163" s="16"/>
      <c r="C163" s="32">
        <f>H8*C162</f>
        <v>198614.88</v>
      </c>
    </row>
    <row r="164" spans="1:5">
      <c r="A164" s="59"/>
    </row>
    <row r="165" spans="1:5">
      <c r="A165" s="59"/>
    </row>
  </sheetData>
  <mergeCells count="173">
    <mergeCell ref="A155:I155"/>
    <mergeCell ref="A157:I157"/>
    <mergeCell ref="A1:I1"/>
    <mergeCell ref="A2:I2"/>
    <mergeCell ref="A4:I4"/>
    <mergeCell ref="B5:G5"/>
    <mergeCell ref="H5:I5"/>
    <mergeCell ref="B6:G6"/>
    <mergeCell ref="H6:I6"/>
    <mergeCell ref="B16:G16"/>
    <mergeCell ref="H16:I16"/>
    <mergeCell ref="A12:B12"/>
    <mergeCell ref="C12:D12"/>
    <mergeCell ref="E12:I12"/>
    <mergeCell ref="B7:G7"/>
    <mergeCell ref="H7:I7"/>
    <mergeCell ref="B8:G8"/>
    <mergeCell ref="H8:I8"/>
    <mergeCell ref="A10:I10"/>
    <mergeCell ref="A11:B11"/>
    <mergeCell ref="C11:D11"/>
    <mergeCell ref="E11:I11"/>
    <mergeCell ref="B17:G17"/>
    <mergeCell ref="H17:I17"/>
    <mergeCell ref="B18:G18"/>
    <mergeCell ref="H18:I18"/>
    <mergeCell ref="A14:I14"/>
    <mergeCell ref="B15:G15"/>
    <mergeCell ref="H15:I15"/>
    <mergeCell ref="B24:G24"/>
    <mergeCell ref="B25:G25"/>
    <mergeCell ref="B26:G26"/>
    <mergeCell ref="B27:G27"/>
    <mergeCell ref="B28:G28"/>
    <mergeCell ref="A29:H29"/>
    <mergeCell ref="B19:G19"/>
    <mergeCell ref="H19:I19"/>
    <mergeCell ref="A20:I20"/>
    <mergeCell ref="A21:I21"/>
    <mergeCell ref="B22:G22"/>
    <mergeCell ref="B23:G23"/>
    <mergeCell ref="A37:G37"/>
    <mergeCell ref="B38:G38"/>
    <mergeCell ref="B39:G39"/>
    <mergeCell ref="B40:G40"/>
    <mergeCell ref="B41:G41"/>
    <mergeCell ref="B42:G42"/>
    <mergeCell ref="A31:I31"/>
    <mergeCell ref="A32:G32"/>
    <mergeCell ref="B33:G33"/>
    <mergeCell ref="B34:G34"/>
    <mergeCell ref="A35:G35"/>
    <mergeCell ref="A36:I36"/>
    <mergeCell ref="B49:G49"/>
    <mergeCell ref="B50:G50"/>
    <mergeCell ref="B51:G51"/>
    <mergeCell ref="B52:G52"/>
    <mergeCell ref="B53:G53"/>
    <mergeCell ref="B54:G54"/>
    <mergeCell ref="B43:G43"/>
    <mergeCell ref="B44:G44"/>
    <mergeCell ref="B45:G45"/>
    <mergeCell ref="A46:G46"/>
    <mergeCell ref="A47:I47"/>
    <mergeCell ref="A48:G48"/>
    <mergeCell ref="B61:H61"/>
    <mergeCell ref="A62:H62"/>
    <mergeCell ref="A63:I63"/>
    <mergeCell ref="A64:I64"/>
    <mergeCell ref="B65:G65"/>
    <mergeCell ref="B66:G66"/>
    <mergeCell ref="A55:H55"/>
    <mergeCell ref="A56:I56"/>
    <mergeCell ref="A57:I57"/>
    <mergeCell ref="A58:H58"/>
    <mergeCell ref="B59:H59"/>
    <mergeCell ref="B60:H60"/>
    <mergeCell ref="A73:I73"/>
    <mergeCell ref="A74:I74"/>
    <mergeCell ref="A75:G75"/>
    <mergeCell ref="B76:G76"/>
    <mergeCell ref="B77:G77"/>
    <mergeCell ref="B78:G78"/>
    <mergeCell ref="B67:G67"/>
    <mergeCell ref="B68:G68"/>
    <mergeCell ref="B69:G69"/>
    <mergeCell ref="B70:G70"/>
    <mergeCell ref="B71:G71"/>
    <mergeCell ref="A72:G72"/>
    <mergeCell ref="B85:G85"/>
    <mergeCell ref="A86:G86"/>
    <mergeCell ref="A87:I87"/>
    <mergeCell ref="A88:I88"/>
    <mergeCell ref="A89:H89"/>
    <mergeCell ref="B90:H90"/>
    <mergeCell ref="B79:G79"/>
    <mergeCell ref="B80:G80"/>
    <mergeCell ref="B81:G81"/>
    <mergeCell ref="A82:G82"/>
    <mergeCell ref="A83:I83"/>
    <mergeCell ref="A84:G84"/>
    <mergeCell ref="B97:G97"/>
    <mergeCell ref="B98:G98"/>
    <mergeCell ref="B99:G99"/>
    <mergeCell ref="A100:G100"/>
    <mergeCell ref="A101:I101"/>
    <mergeCell ref="A102:I102"/>
    <mergeCell ref="B91:H91"/>
    <mergeCell ref="A92:H92"/>
    <mergeCell ref="A93:I93"/>
    <mergeCell ref="A94:I94"/>
    <mergeCell ref="B95:G95"/>
    <mergeCell ref="B96:G96"/>
    <mergeCell ref="B109:G109"/>
    <mergeCell ref="A110:G110"/>
    <mergeCell ref="B111:I111"/>
    <mergeCell ref="B112:G112"/>
    <mergeCell ref="B113:G113"/>
    <mergeCell ref="B115:G115"/>
    <mergeCell ref="B103:G103"/>
    <mergeCell ref="B104:G104"/>
    <mergeCell ref="B105:G105"/>
    <mergeCell ref="B106:G106"/>
    <mergeCell ref="B107:G107"/>
    <mergeCell ref="B108:G108"/>
    <mergeCell ref="B125:H125"/>
    <mergeCell ref="B126:H126"/>
    <mergeCell ref="B127:H127"/>
    <mergeCell ref="B128:H128"/>
    <mergeCell ref="B129:H129"/>
    <mergeCell ref="A130:H130"/>
    <mergeCell ref="A131:E131"/>
    <mergeCell ref="F131:H131"/>
    <mergeCell ref="B117:G117"/>
    <mergeCell ref="B119:G119"/>
    <mergeCell ref="A121:I121"/>
    <mergeCell ref="A122:H122"/>
    <mergeCell ref="B123:H123"/>
    <mergeCell ref="B124:H124"/>
    <mergeCell ref="A139:B139"/>
    <mergeCell ref="C139:D139"/>
    <mergeCell ref="E139:F139"/>
    <mergeCell ref="A140:H140"/>
    <mergeCell ref="B142:G142"/>
    <mergeCell ref="A143:I143"/>
    <mergeCell ref="A137:B137"/>
    <mergeCell ref="C137:D137"/>
    <mergeCell ref="E137:F137"/>
    <mergeCell ref="A138:B138"/>
    <mergeCell ref="C138:D138"/>
    <mergeCell ref="E138:F138"/>
    <mergeCell ref="A135:B135"/>
    <mergeCell ref="C135:D135"/>
    <mergeCell ref="E135:F135"/>
    <mergeCell ref="A136:B136"/>
    <mergeCell ref="C136:D136"/>
    <mergeCell ref="E136:F136"/>
    <mergeCell ref="B132:G132"/>
    <mergeCell ref="A133:B133"/>
    <mergeCell ref="C133:D133"/>
    <mergeCell ref="E133:F133"/>
    <mergeCell ref="A134:B134"/>
    <mergeCell ref="C134:D134"/>
    <mergeCell ref="E134:F134"/>
    <mergeCell ref="D152:I152"/>
    <mergeCell ref="D153:I153"/>
    <mergeCell ref="A152:C152"/>
    <mergeCell ref="A153:C153"/>
    <mergeCell ref="B144:H144"/>
    <mergeCell ref="B145:H145"/>
    <mergeCell ref="B146:H146"/>
    <mergeCell ref="B147:H147"/>
    <mergeCell ref="A148:H148"/>
  </mergeCells>
  <pageMargins left="0.511811024" right="0.511811024" top="0.78740157499999996" bottom="0.78740157499999996" header="0.31496062000000002" footer="0.31496062000000002"/>
  <pageSetup paperSize="9" scale="4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4"/>
  <sheetViews>
    <sheetView zoomScale="150" zoomScaleNormal="150" workbookViewId="0">
      <selection activeCell="C24" sqref="C24"/>
    </sheetView>
  </sheetViews>
  <sheetFormatPr defaultColWidth="9" defaultRowHeight="12.75"/>
  <cols>
    <col min="1" max="1" width="19" customWidth="1"/>
    <col min="2" max="2" width="9.7109375" customWidth="1"/>
    <col min="3" max="3" width="23.7109375" customWidth="1"/>
    <col min="4" max="4" width="20" customWidth="1"/>
    <col min="5" max="5" width="24.42578125" customWidth="1"/>
  </cols>
  <sheetData>
    <row r="1" spans="1:5">
      <c r="A1" s="7" t="s">
        <v>161</v>
      </c>
      <c r="B1" s="7" t="s">
        <v>181</v>
      </c>
      <c r="C1" s="7" t="s">
        <v>182</v>
      </c>
      <c r="D1" s="7" t="s">
        <v>183</v>
      </c>
      <c r="E1" s="7" t="s">
        <v>184</v>
      </c>
    </row>
    <row r="2" spans="1:5">
      <c r="A2" s="4" t="s">
        <v>185</v>
      </c>
      <c r="B2" s="2">
        <v>6350</v>
      </c>
      <c r="C2" s="2">
        <v>800</v>
      </c>
      <c r="D2" s="2">
        <f>B2/C2</f>
        <v>7.9375</v>
      </c>
      <c r="E2" s="2">
        <v>7</v>
      </c>
    </row>
    <row r="3" spans="1:5">
      <c r="A3" s="4" t="s">
        <v>186</v>
      </c>
      <c r="B3" s="2">
        <v>4500</v>
      </c>
      <c r="C3" s="2">
        <v>1800</v>
      </c>
      <c r="D3" s="2">
        <f t="shared" ref="D3" si="0">B3/C3</f>
        <v>2.5</v>
      </c>
      <c r="E3" s="2">
        <v>2</v>
      </c>
    </row>
    <row r="4" spans="1:5">
      <c r="A4" s="7" t="s">
        <v>165</v>
      </c>
      <c r="B4" s="1">
        <f>SUM(B2:B3)</f>
        <v>10850</v>
      </c>
      <c r="C4" s="176"/>
      <c r="D4" s="177"/>
      <c r="E4" s="1">
        <f>SUM(E2:E3)</f>
        <v>9</v>
      </c>
    </row>
  </sheetData>
  <mergeCells count="1">
    <mergeCell ref="C4:D4"/>
  </mergeCells>
  <pageMargins left="0.51180555555555596" right="0.51180555555555596" top="0.78680555555555598" bottom="0.78680555555555598" header="0.31458333333333299" footer="0.3145833333333329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40"/>
  <sheetViews>
    <sheetView topLeftCell="A27" zoomScale="170" zoomScaleNormal="170" workbookViewId="0">
      <selection sqref="A1:G40"/>
    </sheetView>
  </sheetViews>
  <sheetFormatPr defaultColWidth="9" defaultRowHeight="12.75"/>
  <cols>
    <col min="1" max="1" width="19" customWidth="1"/>
    <col min="2" max="2" width="16" customWidth="1"/>
    <col min="3" max="3" width="14.140625" customWidth="1"/>
    <col min="4" max="4" width="14.85546875" customWidth="1"/>
    <col min="5" max="5" width="18" customWidth="1"/>
    <col min="6" max="6" width="13.7109375" customWidth="1"/>
  </cols>
  <sheetData>
    <row r="1" spans="1:5" ht="15.75">
      <c r="A1" s="178" t="s">
        <v>228</v>
      </c>
      <c r="B1" s="178"/>
      <c r="C1" s="178"/>
      <c r="D1" s="178"/>
      <c r="E1" s="91"/>
    </row>
    <row r="2" spans="1:5">
      <c r="A2" s="1" t="s">
        <v>161</v>
      </c>
      <c r="B2" s="1" t="s">
        <v>226</v>
      </c>
      <c r="C2" s="1" t="s">
        <v>189</v>
      </c>
      <c r="D2" s="1" t="s">
        <v>190</v>
      </c>
      <c r="E2" s="1"/>
    </row>
    <row r="3" spans="1:5">
      <c r="A3" s="2" t="s">
        <v>191</v>
      </c>
      <c r="B3" s="2">
        <v>2</v>
      </c>
      <c r="C3" s="87">
        <v>33</v>
      </c>
      <c r="D3" s="78">
        <f>B3*C3</f>
        <v>66</v>
      </c>
      <c r="E3" s="64"/>
    </row>
    <row r="4" spans="1:5">
      <c r="A4" s="2" t="s">
        <v>192</v>
      </c>
      <c r="B4" s="2">
        <v>4</v>
      </c>
      <c r="C4" s="87">
        <v>134.93</v>
      </c>
      <c r="D4" s="78">
        <f t="shared" ref="D4:D11" si="0">B4*C4</f>
        <v>539.72</v>
      </c>
      <c r="E4" s="64"/>
    </row>
    <row r="5" spans="1:5">
      <c r="A5" s="2" t="s">
        <v>193</v>
      </c>
      <c r="B5" s="2">
        <v>4</v>
      </c>
      <c r="C5" s="87">
        <v>54.6</v>
      </c>
      <c r="D5" s="78">
        <f t="shared" si="0"/>
        <v>218.4</v>
      </c>
      <c r="E5" s="64"/>
    </row>
    <row r="6" spans="1:5">
      <c r="A6" s="2" t="s">
        <v>194</v>
      </c>
      <c r="B6" s="2">
        <v>2</v>
      </c>
      <c r="C6" s="87">
        <v>314.82</v>
      </c>
      <c r="D6" s="78">
        <f t="shared" si="0"/>
        <v>629.64</v>
      </c>
      <c r="E6" s="64"/>
    </row>
    <row r="7" spans="1:5">
      <c r="A7" s="2" t="s">
        <v>195</v>
      </c>
      <c r="B7" s="2">
        <v>2</v>
      </c>
      <c r="C7" s="87">
        <v>43.6</v>
      </c>
      <c r="D7" s="78">
        <f t="shared" si="0"/>
        <v>87.2</v>
      </c>
      <c r="E7" s="64"/>
    </row>
    <row r="8" spans="1:5">
      <c r="A8" s="2" t="s">
        <v>196</v>
      </c>
      <c r="B8" s="2">
        <v>2</v>
      </c>
      <c r="C8" s="87">
        <v>6.7</v>
      </c>
      <c r="D8" s="78">
        <f t="shared" si="0"/>
        <v>13.4</v>
      </c>
      <c r="E8" s="64"/>
    </row>
    <row r="9" spans="1:5">
      <c r="A9" s="2" t="s">
        <v>197</v>
      </c>
      <c r="B9" s="2">
        <v>2</v>
      </c>
      <c r="C9" s="87">
        <v>172.19</v>
      </c>
      <c r="D9" s="78">
        <f t="shared" si="0"/>
        <v>344.38</v>
      </c>
      <c r="E9" s="64"/>
    </row>
    <row r="10" spans="1:5">
      <c r="A10" s="2" t="s">
        <v>198</v>
      </c>
      <c r="B10" s="2">
        <v>2</v>
      </c>
      <c r="C10" s="87">
        <v>9.34</v>
      </c>
      <c r="D10" s="78">
        <f t="shared" si="0"/>
        <v>18.68</v>
      </c>
      <c r="E10" s="64"/>
    </row>
    <row r="11" spans="1:5">
      <c r="A11" s="2" t="s">
        <v>199</v>
      </c>
      <c r="B11" s="2">
        <v>4</v>
      </c>
      <c r="C11" s="86">
        <v>15.92</v>
      </c>
      <c r="D11" s="78">
        <f t="shared" si="0"/>
        <v>63.68</v>
      </c>
      <c r="E11" s="64"/>
    </row>
    <row r="12" spans="1:5">
      <c r="A12" s="184" t="s">
        <v>200</v>
      </c>
      <c r="B12" s="184"/>
      <c r="C12" s="184"/>
      <c r="D12" s="5">
        <f>SUM(D3:D11)</f>
        <v>1981.1000000000004</v>
      </c>
    </row>
    <row r="14" spans="1:5">
      <c r="A14" s="92" t="s">
        <v>201</v>
      </c>
      <c r="B14" s="92"/>
      <c r="C14" s="92"/>
      <c r="D14" s="6">
        <f>(D12/12)/2</f>
        <v>82.545833333333348</v>
      </c>
    </row>
    <row r="18" spans="1:7" ht="15">
      <c r="A18" s="185" t="s">
        <v>202</v>
      </c>
      <c r="B18" s="185"/>
      <c r="C18" s="185"/>
      <c r="D18" s="185"/>
      <c r="E18" s="185"/>
      <c r="F18" s="185"/>
      <c r="G18" s="185"/>
    </row>
    <row r="19" spans="1:7" ht="15">
      <c r="A19" s="79" t="s">
        <v>203</v>
      </c>
      <c r="B19" s="79" t="s">
        <v>227</v>
      </c>
      <c r="C19" s="79" t="s">
        <v>205</v>
      </c>
      <c r="D19" s="79" t="s">
        <v>206</v>
      </c>
      <c r="E19" s="79" t="s">
        <v>207</v>
      </c>
      <c r="F19" s="79" t="s">
        <v>208</v>
      </c>
      <c r="G19" s="79" t="s">
        <v>209</v>
      </c>
    </row>
    <row r="20" spans="1:7" ht="15">
      <c r="A20" s="80" t="s">
        <v>210</v>
      </c>
      <c r="B20" s="2">
        <v>1</v>
      </c>
      <c r="C20" s="88">
        <v>43.57</v>
      </c>
      <c r="D20" s="2">
        <v>10</v>
      </c>
      <c r="E20" s="81">
        <v>0.1</v>
      </c>
      <c r="F20" s="28">
        <f t="shared" ref="F20:F26" si="1">G20/12</f>
        <v>0.36308333333333337</v>
      </c>
      <c r="G20" s="28">
        <f t="shared" ref="G20:G26" si="2">(C20*E20)*B20</f>
        <v>4.3570000000000002</v>
      </c>
    </row>
    <row r="21" spans="1:7" ht="45">
      <c r="A21" s="82" t="s">
        <v>211</v>
      </c>
      <c r="B21" s="2">
        <v>1</v>
      </c>
      <c r="C21" s="90">
        <v>5585.13</v>
      </c>
      <c r="D21" s="2">
        <v>20</v>
      </c>
      <c r="E21" s="81">
        <v>0.05</v>
      </c>
      <c r="F21" s="28">
        <f t="shared" si="1"/>
        <v>23.271375000000003</v>
      </c>
      <c r="G21" s="28">
        <f t="shared" si="2"/>
        <v>279.25650000000002</v>
      </c>
    </row>
    <row r="22" spans="1:7" ht="30">
      <c r="A22" s="82" t="s">
        <v>212</v>
      </c>
      <c r="B22" s="2">
        <v>6</v>
      </c>
      <c r="C22" s="90">
        <v>12.34</v>
      </c>
      <c r="D22" s="2">
        <v>10</v>
      </c>
      <c r="E22" s="81">
        <v>0.1</v>
      </c>
      <c r="F22" s="28">
        <f t="shared" si="1"/>
        <v>0.61699999999999999</v>
      </c>
      <c r="G22" s="28">
        <f t="shared" si="2"/>
        <v>7.4039999999999999</v>
      </c>
    </row>
    <row r="23" spans="1:7" ht="15">
      <c r="A23" s="80" t="s">
        <v>213</v>
      </c>
      <c r="B23" s="2">
        <v>1</v>
      </c>
      <c r="C23" s="88">
        <v>194.35</v>
      </c>
      <c r="D23" s="2">
        <v>10</v>
      </c>
      <c r="E23" s="81">
        <v>0.1</v>
      </c>
      <c r="F23" s="28">
        <f t="shared" si="1"/>
        <v>1.6195833333333336</v>
      </c>
      <c r="G23" s="28">
        <f t="shared" si="2"/>
        <v>19.435000000000002</v>
      </c>
    </row>
    <row r="24" spans="1:7" ht="15">
      <c r="A24" s="80" t="s">
        <v>214</v>
      </c>
      <c r="B24" s="2">
        <v>1</v>
      </c>
      <c r="C24" s="88">
        <v>58.01</v>
      </c>
      <c r="D24" s="2">
        <v>10</v>
      </c>
      <c r="E24" s="81">
        <v>0.1</v>
      </c>
      <c r="F24" s="28">
        <f t="shared" si="1"/>
        <v>0.48341666666666666</v>
      </c>
      <c r="G24" s="28">
        <f t="shared" si="2"/>
        <v>5.8010000000000002</v>
      </c>
    </row>
    <row r="25" spans="1:7" ht="36" customHeight="1">
      <c r="A25" s="80" t="s">
        <v>215</v>
      </c>
      <c r="B25" s="2">
        <v>1</v>
      </c>
      <c r="C25" s="90">
        <v>2038</v>
      </c>
      <c r="D25" s="2">
        <v>5</v>
      </c>
      <c r="E25" s="81">
        <v>0.2</v>
      </c>
      <c r="F25" s="28">
        <f t="shared" si="1"/>
        <v>33.966666666666669</v>
      </c>
      <c r="G25" s="28">
        <f t="shared" si="2"/>
        <v>407.6</v>
      </c>
    </row>
    <row r="26" spans="1:7" ht="36" customHeight="1">
      <c r="A26" s="80" t="s">
        <v>224</v>
      </c>
      <c r="B26" s="2">
        <v>1</v>
      </c>
      <c r="C26" s="90">
        <v>1190.27</v>
      </c>
      <c r="D26" s="2">
        <v>10</v>
      </c>
      <c r="E26" s="81">
        <v>0.1</v>
      </c>
      <c r="F26" s="28">
        <f t="shared" si="1"/>
        <v>9.9189166666666662</v>
      </c>
      <c r="G26" s="28">
        <f t="shared" si="2"/>
        <v>119.027</v>
      </c>
    </row>
    <row r="27" spans="1:7" ht="15">
      <c r="A27" s="186" t="s">
        <v>216</v>
      </c>
      <c r="B27" s="186"/>
      <c r="C27" s="186"/>
      <c r="D27" s="186"/>
      <c r="E27" s="186"/>
      <c r="F27" s="84">
        <f>SUM(F20:F26)</f>
        <v>70.24004166666667</v>
      </c>
      <c r="G27" s="85">
        <f>SUM(G20:G26)</f>
        <v>842.8805000000001</v>
      </c>
    </row>
    <row r="30" spans="1:7" ht="15">
      <c r="A30" s="179" t="s">
        <v>217</v>
      </c>
      <c r="B30" s="180"/>
      <c r="C30" s="180"/>
      <c r="D30" s="180"/>
      <c r="E30" s="180"/>
    </row>
    <row r="31" spans="1:7" ht="15">
      <c r="A31" s="79" t="s">
        <v>203</v>
      </c>
      <c r="B31" s="79" t="s">
        <v>204</v>
      </c>
      <c r="C31" s="79" t="s">
        <v>205</v>
      </c>
      <c r="D31" s="79" t="s">
        <v>208</v>
      </c>
      <c r="E31" s="79" t="s">
        <v>209</v>
      </c>
    </row>
    <row r="32" spans="1:7">
      <c r="A32" s="4" t="s">
        <v>218</v>
      </c>
      <c r="B32" s="4">
        <v>2</v>
      </c>
      <c r="C32" s="89">
        <v>21.29</v>
      </c>
      <c r="D32" s="18">
        <f>E32/12</f>
        <v>3.5483333333333333</v>
      </c>
      <c r="E32" s="4">
        <f>B32*C32</f>
        <v>42.58</v>
      </c>
    </row>
    <row r="33" spans="1:7">
      <c r="A33" s="4" t="s">
        <v>219</v>
      </c>
      <c r="B33" s="4">
        <v>2</v>
      </c>
      <c r="C33" s="89">
        <v>11.31</v>
      </c>
      <c r="D33" s="18">
        <f>E33/12</f>
        <v>1.885</v>
      </c>
      <c r="E33" s="4">
        <f>C33*B33</f>
        <v>22.62</v>
      </c>
    </row>
    <row r="34" spans="1:7">
      <c r="A34" s="4" t="s">
        <v>220</v>
      </c>
      <c r="B34" s="4">
        <v>1</v>
      </c>
      <c r="C34" s="89">
        <v>12.04</v>
      </c>
      <c r="D34" s="18">
        <f>E34/12</f>
        <v>1.0033333333333332</v>
      </c>
      <c r="E34" s="4">
        <f>B34*C34</f>
        <v>12.04</v>
      </c>
    </row>
    <row r="35" spans="1:7">
      <c r="A35" s="4" t="s">
        <v>221</v>
      </c>
      <c r="B35" s="4">
        <v>2</v>
      </c>
      <c r="C35" s="89">
        <v>43.07</v>
      </c>
      <c r="D35" s="18">
        <f>E35/12</f>
        <v>7.1783333333333337</v>
      </c>
      <c r="E35" s="4">
        <f>B35*C35</f>
        <v>86.14</v>
      </c>
    </row>
    <row r="36" spans="1:7">
      <c r="A36" s="181" t="s">
        <v>216</v>
      </c>
      <c r="B36" s="182"/>
      <c r="C36" s="183"/>
      <c r="D36" s="18">
        <f>SUM(D32:D35)</f>
        <v>13.615</v>
      </c>
      <c r="E36" s="4">
        <f>SUM(E32:E35)</f>
        <v>163.38</v>
      </c>
    </row>
    <row r="40" spans="1:7">
      <c r="A40" s="92" t="s">
        <v>201</v>
      </c>
      <c r="B40" s="92"/>
      <c r="C40" s="92"/>
      <c r="D40" s="6">
        <f>(F27+D36)/2</f>
        <v>41.927520833333332</v>
      </c>
      <c r="G40" s="58"/>
    </row>
  </sheetData>
  <mergeCells count="8">
    <mergeCell ref="A1:D1"/>
    <mergeCell ref="A30:E30"/>
    <mergeCell ref="A36:C36"/>
    <mergeCell ref="A40:C40"/>
    <mergeCell ref="A12:C12"/>
    <mergeCell ref="A14:C14"/>
    <mergeCell ref="A18:G18"/>
    <mergeCell ref="A27:E27"/>
  </mergeCells>
  <pageMargins left="0.51180555555555596" right="0.51180555555555596" top="0.78680555555555598" bottom="0.78680555555555598" header="0.31458333333333299" footer="0.31458333333333299"/>
  <pageSetup paperSize="9" scale="82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3651C-E923-42A2-B9BE-FF5786782AAC}">
  <dimension ref="A1:G40"/>
  <sheetViews>
    <sheetView workbookViewId="0">
      <selection activeCell="D40" sqref="D40"/>
    </sheetView>
  </sheetViews>
  <sheetFormatPr defaultColWidth="9" defaultRowHeight="12.75"/>
  <cols>
    <col min="1" max="1" width="19" customWidth="1"/>
    <col min="3" max="3" width="14.140625" customWidth="1"/>
    <col min="4" max="4" width="14.85546875" customWidth="1"/>
    <col min="5" max="5" width="18" customWidth="1"/>
    <col min="6" max="6" width="13.7109375" customWidth="1"/>
  </cols>
  <sheetData>
    <row r="1" spans="1:5" ht="15.75">
      <c r="A1" s="187" t="s">
        <v>187</v>
      </c>
      <c r="B1" s="187"/>
      <c r="C1" s="187"/>
      <c r="D1" s="187"/>
      <c r="E1" s="187"/>
    </row>
    <row r="3" spans="1:5">
      <c r="A3" s="1" t="s">
        <v>161</v>
      </c>
      <c r="B3" s="1" t="s">
        <v>188</v>
      </c>
      <c r="C3" s="1" t="s">
        <v>189</v>
      </c>
      <c r="D3" s="1" t="s">
        <v>190</v>
      </c>
      <c r="E3" s="1"/>
    </row>
    <row r="4" spans="1:5">
      <c r="A4" s="2" t="s">
        <v>191</v>
      </c>
      <c r="B4" s="2">
        <v>2</v>
      </c>
      <c r="C4" s="3">
        <v>24.5</v>
      </c>
      <c r="D4" s="78">
        <f>B4*C4</f>
        <v>49</v>
      </c>
      <c r="E4" s="64"/>
    </row>
    <row r="5" spans="1:5">
      <c r="A5" s="2" t="s">
        <v>192</v>
      </c>
      <c r="B5" s="2">
        <v>4</v>
      </c>
      <c r="C5" s="3">
        <v>131.13</v>
      </c>
      <c r="D5" s="78">
        <f t="shared" ref="D5:D12" si="0">B5*C5</f>
        <v>524.52</v>
      </c>
      <c r="E5" s="64"/>
    </row>
    <row r="6" spans="1:5">
      <c r="A6" s="2" t="s">
        <v>193</v>
      </c>
      <c r="B6" s="2">
        <v>4</v>
      </c>
      <c r="C6" s="3">
        <v>39.340000000000003</v>
      </c>
      <c r="D6" s="78">
        <f t="shared" si="0"/>
        <v>157.36000000000001</v>
      </c>
      <c r="E6" s="64"/>
    </row>
    <row r="7" spans="1:5">
      <c r="A7" s="2" t="s">
        <v>194</v>
      </c>
      <c r="B7" s="2">
        <v>2</v>
      </c>
      <c r="C7" s="3">
        <v>278.02999999999997</v>
      </c>
      <c r="D7" s="78">
        <f t="shared" si="0"/>
        <v>556.05999999999995</v>
      </c>
      <c r="E7" s="64"/>
    </row>
    <row r="8" spans="1:5">
      <c r="A8" s="2" t="s">
        <v>195</v>
      </c>
      <c r="B8" s="2">
        <v>2</v>
      </c>
      <c r="C8" s="3">
        <v>31.04</v>
      </c>
      <c r="D8" s="78">
        <f t="shared" si="0"/>
        <v>62.08</v>
      </c>
      <c r="E8" s="64"/>
    </row>
    <row r="9" spans="1:5">
      <c r="A9" s="2" t="s">
        <v>196</v>
      </c>
      <c r="B9" s="2">
        <v>2</v>
      </c>
      <c r="C9" s="3">
        <v>1.78</v>
      </c>
      <c r="D9" s="78">
        <f t="shared" si="0"/>
        <v>3.56</v>
      </c>
      <c r="E9" s="64"/>
    </row>
    <row r="10" spans="1:5">
      <c r="A10" s="2" t="s">
        <v>197</v>
      </c>
      <c r="B10" s="2">
        <v>2</v>
      </c>
      <c r="C10" s="3">
        <v>121.38</v>
      </c>
      <c r="D10" s="78">
        <f t="shared" si="0"/>
        <v>242.76</v>
      </c>
      <c r="E10" s="64"/>
    </row>
    <row r="11" spans="1:5">
      <c r="A11" s="2" t="s">
        <v>198</v>
      </c>
      <c r="B11" s="2">
        <v>2</v>
      </c>
      <c r="C11" s="3">
        <v>6.29</v>
      </c>
      <c r="D11" s="78">
        <f t="shared" si="0"/>
        <v>12.58</v>
      </c>
      <c r="E11" s="64"/>
    </row>
    <row r="12" spans="1:5">
      <c r="A12" s="2" t="s">
        <v>199</v>
      </c>
      <c r="B12" s="2">
        <v>4</v>
      </c>
      <c r="C12" s="3">
        <v>7.05</v>
      </c>
      <c r="D12" s="78">
        <f t="shared" si="0"/>
        <v>28.2</v>
      </c>
      <c r="E12" s="64"/>
    </row>
    <row r="13" spans="1:5">
      <c r="A13" s="184" t="s">
        <v>200</v>
      </c>
      <c r="B13" s="184"/>
      <c r="C13" s="184"/>
      <c r="D13" s="5">
        <f>SUM(D4:D12)</f>
        <v>1636.12</v>
      </c>
    </row>
    <row r="15" spans="1:5">
      <c r="A15" s="92" t="s">
        <v>201</v>
      </c>
      <c r="B15" s="92"/>
      <c r="C15" s="92"/>
      <c r="D15" s="6">
        <f>(D13/12)/2/2</f>
        <v>34.085833333333333</v>
      </c>
    </row>
    <row r="19" spans="1:7" ht="15">
      <c r="A19" s="185" t="s">
        <v>202</v>
      </c>
      <c r="B19" s="185"/>
      <c r="C19" s="185"/>
      <c r="D19" s="185"/>
      <c r="E19" s="185"/>
      <c r="F19" s="185"/>
      <c r="G19" s="185"/>
    </row>
    <row r="20" spans="1:7" ht="15">
      <c r="A20" s="79" t="s">
        <v>203</v>
      </c>
      <c r="B20" s="79" t="s">
        <v>204</v>
      </c>
      <c r="C20" s="79" t="s">
        <v>205</v>
      </c>
      <c r="D20" s="79" t="s">
        <v>206</v>
      </c>
      <c r="E20" s="79" t="s">
        <v>207</v>
      </c>
      <c r="F20" s="79" t="s">
        <v>208</v>
      </c>
      <c r="G20" s="79" t="s">
        <v>209</v>
      </c>
    </row>
    <row r="21" spans="1:7" ht="15">
      <c r="A21" s="80" t="s">
        <v>210</v>
      </c>
      <c r="B21" s="2">
        <v>2</v>
      </c>
      <c r="C21" s="2">
        <v>44.15</v>
      </c>
      <c r="D21" s="2">
        <v>10</v>
      </c>
      <c r="E21" s="81">
        <v>0.1</v>
      </c>
      <c r="F21" s="28">
        <f t="shared" ref="F21:F26" si="1">G21/12</f>
        <v>0.73583333333333334</v>
      </c>
      <c r="G21" s="28">
        <f t="shared" ref="G21:G26" si="2">(C21*E21)*B21</f>
        <v>8.83</v>
      </c>
    </row>
    <row r="22" spans="1:7" ht="45">
      <c r="A22" s="82" t="s">
        <v>211</v>
      </c>
      <c r="B22" s="2">
        <v>2</v>
      </c>
      <c r="C22" s="83">
        <v>4604.18</v>
      </c>
      <c r="D22" s="2">
        <v>20</v>
      </c>
      <c r="E22" s="81">
        <v>0.05</v>
      </c>
      <c r="F22" s="28">
        <f t="shared" si="1"/>
        <v>38.368166666666674</v>
      </c>
      <c r="G22" s="28">
        <f t="shared" si="2"/>
        <v>460.41800000000006</v>
      </c>
    </row>
    <row r="23" spans="1:7" ht="30">
      <c r="A23" s="82" t="s">
        <v>212</v>
      </c>
      <c r="B23" s="2">
        <v>12</v>
      </c>
      <c r="C23" s="83">
        <v>5.95</v>
      </c>
      <c r="D23" s="2">
        <v>10</v>
      </c>
      <c r="E23" s="81">
        <v>0.1</v>
      </c>
      <c r="F23" s="28">
        <f t="shared" si="1"/>
        <v>0.59500000000000008</v>
      </c>
      <c r="G23" s="28">
        <f t="shared" si="2"/>
        <v>7.1400000000000006</v>
      </c>
    </row>
    <row r="24" spans="1:7" ht="15">
      <c r="A24" s="80" t="s">
        <v>213</v>
      </c>
      <c r="B24" s="2">
        <v>2</v>
      </c>
      <c r="C24" s="2">
        <v>119.41</v>
      </c>
      <c r="D24" s="2">
        <v>10</v>
      </c>
      <c r="E24" s="81">
        <v>0.1</v>
      </c>
      <c r="F24" s="28">
        <f t="shared" si="1"/>
        <v>1.9901666666666669</v>
      </c>
      <c r="G24" s="28">
        <f t="shared" si="2"/>
        <v>23.882000000000001</v>
      </c>
    </row>
    <row r="25" spans="1:7" ht="15">
      <c r="A25" s="80" t="s">
        <v>214</v>
      </c>
      <c r="B25" s="2">
        <v>2</v>
      </c>
      <c r="C25" s="2">
        <v>36.07</v>
      </c>
      <c r="D25" s="2">
        <v>10</v>
      </c>
      <c r="E25" s="81">
        <v>0.1</v>
      </c>
      <c r="F25" s="28">
        <f t="shared" si="1"/>
        <v>0.60116666666666674</v>
      </c>
      <c r="G25" s="28">
        <f t="shared" si="2"/>
        <v>7.2140000000000004</v>
      </c>
    </row>
    <row r="26" spans="1:7" ht="36" customHeight="1">
      <c r="A26" s="80" t="s">
        <v>215</v>
      </c>
      <c r="B26" s="2">
        <v>2</v>
      </c>
      <c r="C26" s="83">
        <v>1755.7</v>
      </c>
      <c r="D26" s="2">
        <v>5</v>
      </c>
      <c r="E26" s="81">
        <v>0.2</v>
      </c>
      <c r="F26" s="28">
        <f t="shared" si="1"/>
        <v>58.523333333333341</v>
      </c>
      <c r="G26" s="28">
        <f t="shared" si="2"/>
        <v>702.28000000000009</v>
      </c>
    </row>
    <row r="27" spans="1:7" ht="15">
      <c r="A27" s="186" t="s">
        <v>216</v>
      </c>
      <c r="B27" s="186"/>
      <c r="C27" s="186"/>
      <c r="D27" s="186"/>
      <c r="E27" s="186"/>
      <c r="F27" s="84">
        <f>SUM(F21:F26)</f>
        <v>100.81366666666668</v>
      </c>
      <c r="G27" s="85">
        <f>SUM(G21:G26)</f>
        <v>1209.7640000000001</v>
      </c>
    </row>
    <row r="30" spans="1:7" ht="15">
      <c r="A30" s="179" t="s">
        <v>217</v>
      </c>
      <c r="B30" s="180"/>
      <c r="C30" s="180"/>
      <c r="D30" s="180"/>
      <c r="E30" s="180"/>
    </row>
    <row r="31" spans="1:7" ht="15">
      <c r="A31" s="79" t="s">
        <v>203</v>
      </c>
      <c r="B31" s="79" t="s">
        <v>204</v>
      </c>
      <c r="C31" s="79" t="s">
        <v>205</v>
      </c>
      <c r="D31" s="79" t="s">
        <v>208</v>
      </c>
      <c r="E31" s="79" t="s">
        <v>209</v>
      </c>
    </row>
    <row r="32" spans="1:7">
      <c r="A32" s="4" t="s">
        <v>218</v>
      </c>
      <c r="B32" s="4">
        <v>2</v>
      </c>
      <c r="C32" s="4">
        <v>18.399999999999999</v>
      </c>
      <c r="D32" s="18">
        <f>E32/12</f>
        <v>3.0666666666666664</v>
      </c>
      <c r="E32" s="4">
        <f>B32*C32</f>
        <v>36.799999999999997</v>
      </c>
    </row>
    <row r="33" spans="1:7">
      <c r="A33" s="4" t="s">
        <v>219</v>
      </c>
      <c r="B33" s="4">
        <v>2</v>
      </c>
      <c r="C33" s="4">
        <v>16.7</v>
      </c>
      <c r="D33" s="18">
        <f>E33/12</f>
        <v>2.7833333333333332</v>
      </c>
      <c r="E33" s="4">
        <f>C33*B33</f>
        <v>33.4</v>
      </c>
    </row>
    <row r="34" spans="1:7">
      <c r="A34" s="4" t="s">
        <v>220</v>
      </c>
      <c r="B34" s="4">
        <v>1</v>
      </c>
      <c r="C34" s="4">
        <v>13.85</v>
      </c>
      <c r="D34" s="18">
        <f>E34/12</f>
        <v>1.1541666666666666</v>
      </c>
      <c r="E34" s="4">
        <f>B34*C34</f>
        <v>13.85</v>
      </c>
    </row>
    <row r="35" spans="1:7">
      <c r="A35" s="4" t="s">
        <v>221</v>
      </c>
      <c r="B35" s="4">
        <v>1</v>
      </c>
      <c r="C35" s="4">
        <v>39.33</v>
      </c>
      <c r="D35" s="18">
        <f>E35/12</f>
        <v>3.2774999999999999</v>
      </c>
      <c r="E35" s="4">
        <v>39.33</v>
      </c>
    </row>
    <row r="36" spans="1:7">
      <c r="A36" s="181" t="s">
        <v>216</v>
      </c>
      <c r="B36" s="182"/>
      <c r="C36" s="183"/>
      <c r="D36" s="18">
        <f>SUM(D32:D35)</f>
        <v>10.281666666666666</v>
      </c>
      <c r="E36" s="4">
        <f>SUM(E32:E35)</f>
        <v>123.37999999999998</v>
      </c>
    </row>
    <row r="40" spans="1:7">
      <c r="A40" s="92" t="s">
        <v>201</v>
      </c>
      <c r="B40" s="92"/>
      <c r="C40" s="92"/>
      <c r="D40" s="6">
        <f>(F27+D36)/2/2</f>
        <v>27.773833333333336</v>
      </c>
      <c r="G40" s="58"/>
    </row>
  </sheetData>
  <mergeCells count="8">
    <mergeCell ref="A36:C36"/>
    <mergeCell ref="A40:C40"/>
    <mergeCell ref="A1:E1"/>
    <mergeCell ref="A13:C13"/>
    <mergeCell ref="A15:C15"/>
    <mergeCell ref="A19:G19"/>
    <mergeCell ref="A27:E27"/>
    <mergeCell ref="A30:E30"/>
  </mergeCell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BAEA8AEF289EC469568070342C0A21E" ma:contentTypeVersion="18" ma:contentTypeDescription="Crie um novo documento." ma:contentTypeScope="" ma:versionID="10fb82967651e632dc97089b3130a191">
  <xsd:schema xmlns:xsd="http://www.w3.org/2001/XMLSchema" xmlns:xs="http://www.w3.org/2001/XMLSchema" xmlns:p="http://schemas.microsoft.com/office/2006/metadata/properties" xmlns:ns2="93f79b37-4887-4a39-80d2-0936e4ef5ed3" xmlns:ns3="9ac3dc5f-7cd1-44f1-ad3e-c852f362b0cb" targetNamespace="http://schemas.microsoft.com/office/2006/metadata/properties" ma:root="true" ma:fieldsID="2fcda5d87f5d4d882971955b3e75b100" ns2:_="" ns3:_="">
    <xsd:import namespace="93f79b37-4887-4a39-80d2-0936e4ef5ed3"/>
    <xsd:import namespace="9ac3dc5f-7cd1-44f1-ad3e-c852f362b0c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f79b37-4887-4a39-80d2-0936e4ef5e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Marcações de imagem" ma:readOnly="false" ma:fieldId="{5cf76f15-5ced-4ddc-b409-7134ff3c332f}" ma:taxonomyMulti="true" ma:sspId="abe3d53f-864c-4c30-b421-a8cfe89dac5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c3dc5f-7cd1-44f1-ad3e-c852f362b0cb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f2de7287-0d2b-4346-8d33-0b3aa5739452}" ma:internalName="TaxCatchAll" ma:showField="CatchAllData" ma:web="9ac3dc5f-7cd1-44f1-ad3e-c852f362b0c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ac3dc5f-7cd1-44f1-ad3e-c852f362b0cb" xsi:nil="true"/>
    <lcf76f155ced4ddcb4097134ff3c332f xmlns="93f79b37-4887-4a39-80d2-0936e4ef5ed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DC7602A-349A-4A11-B9E8-07C0E9D39D8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65691E1-0EE6-4AD3-8212-FA8DD43365A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3f79b37-4887-4a39-80d2-0936e4ef5ed3"/>
    <ds:schemaRef ds:uri="9ac3dc5f-7cd1-44f1-ad3e-c852f362b0c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8E3424C-1977-4827-9994-1D020DCCF025}">
  <ds:schemaRefs>
    <ds:schemaRef ds:uri="http://schemas.microsoft.com/office/2006/metadata/properties"/>
    <ds:schemaRef ds:uri="http://schemas.microsoft.com/office/infopath/2007/PartnerControls"/>
    <ds:schemaRef ds:uri="9ac3dc5f-7cd1-44f1-ad3e-c852f362b0cb"/>
    <ds:schemaRef ds:uri="93f79b37-4887-4a39-80d2-0936e4ef5ed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Resumo</vt:lpstr>
      <vt:lpstr>12 x 36 noturno</vt:lpstr>
      <vt:lpstr>Diurno finais de sem e fer</vt:lpstr>
      <vt:lpstr>Quantidade de Serventes</vt:lpstr>
      <vt:lpstr>Memórias de Cálculo</vt:lpstr>
      <vt:lpstr>Pesquisa de preços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Patrick</dc:creator>
  <cp:keywords/>
  <dc:description/>
  <cp:lastModifiedBy>Tatiana Millions Rivasplata</cp:lastModifiedBy>
  <cp:revision/>
  <cp:lastPrinted>2024-10-29T17:27:09Z</cp:lastPrinted>
  <dcterms:created xsi:type="dcterms:W3CDTF">2010-12-08T17:56:00Z</dcterms:created>
  <dcterms:modified xsi:type="dcterms:W3CDTF">2025-01-02T11:54:52Z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1046-10.2.0.7516</vt:lpwstr>
  </property>
  <property fmtid="{D5CDD505-2E9C-101B-9397-08002B2CF9AE}" pid="3" name="ContentTypeId">
    <vt:lpwstr>0x0101002BAEA8AEF289EC469568070342C0A21E</vt:lpwstr>
  </property>
  <property fmtid="{D5CDD505-2E9C-101B-9397-08002B2CF9AE}" pid="4" name="MediaServiceImageTags">
    <vt:lpwstr/>
  </property>
</Properties>
</file>