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efed753c50b0137/Área de Trabalho/PROCESSO ASB/"/>
    </mc:Choice>
  </mc:AlternateContent>
  <xr:revisionPtr revIDLastSave="3" documentId="8_{0EB7CA0C-623E-4E2F-B48B-CE22F45839A8}" xr6:coauthVersionLast="47" xr6:coauthVersionMax="47" xr10:uidLastSave="{274EA5A9-77ED-4DFC-9166-5D1AD556CF00}"/>
  <bookViews>
    <workbookView xWindow="-108" yWindow="-108" windowWidth="23256" windowHeight="12456" tabRatio="934" activeTab="3" xr2:uid="{00000000-000D-0000-FFFF-FFFF00000000}"/>
  </bookViews>
  <sheets>
    <sheet name="Resumo" sheetId="9" r:id="rId1"/>
    <sheet name="Auxiliar de saúde Nova Cruz" sheetId="4" r:id="rId2"/>
    <sheet name="Quantidade de Serventes" sheetId="7" state="hidden" r:id="rId3"/>
    <sheet name="INSUMOS" sheetId="1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9" l="1"/>
  <c r="N44" i="15"/>
  <c r="N43" i="15"/>
  <c r="N42" i="15"/>
  <c r="K42" i="15"/>
  <c r="F42" i="15"/>
  <c r="N41" i="15"/>
  <c r="N40" i="15"/>
  <c r="N39" i="15"/>
  <c r="K39" i="15"/>
  <c r="L39" i="15" s="1"/>
  <c r="F39" i="15"/>
  <c r="M39" i="15" s="1"/>
  <c r="N38" i="15"/>
  <c r="N37" i="15"/>
  <c r="N36" i="15"/>
  <c r="K36" i="15"/>
  <c r="L36" i="15" s="1"/>
  <c r="F36" i="15"/>
  <c r="N35" i="15"/>
  <c r="N34" i="15"/>
  <c r="N33" i="15"/>
  <c r="K33" i="15"/>
  <c r="F33" i="15"/>
  <c r="N32" i="15"/>
  <c r="N31" i="15"/>
  <c r="N30" i="15"/>
  <c r="K30" i="15"/>
  <c r="F30" i="15"/>
  <c r="N26" i="15"/>
  <c r="N25" i="15"/>
  <c r="N24" i="15"/>
  <c r="K24" i="15"/>
  <c r="F24" i="15"/>
  <c r="N23" i="15"/>
  <c r="N22" i="15"/>
  <c r="N21" i="15"/>
  <c r="K21" i="15"/>
  <c r="F21" i="15"/>
  <c r="N20" i="15"/>
  <c r="N19" i="15"/>
  <c r="N18" i="15"/>
  <c r="K18" i="15"/>
  <c r="L18" i="15" s="1"/>
  <c r="F18" i="15"/>
  <c r="M18" i="15" s="1"/>
  <c r="N17" i="15"/>
  <c r="N16" i="15"/>
  <c r="N15" i="15"/>
  <c r="K15" i="15"/>
  <c r="L15" i="15" s="1"/>
  <c r="F15" i="15"/>
  <c r="N14" i="15"/>
  <c r="N13" i="15"/>
  <c r="N12" i="15"/>
  <c r="K12" i="15"/>
  <c r="L12" i="15" s="1"/>
  <c r="F12" i="15"/>
  <c r="N11" i="15"/>
  <c r="N10" i="15"/>
  <c r="N9" i="15"/>
  <c r="K9" i="15"/>
  <c r="M9" i="15" s="1"/>
  <c r="F9" i="15"/>
  <c r="M15" i="15" l="1"/>
  <c r="M24" i="15"/>
  <c r="M33" i="15"/>
  <c r="M42" i="15"/>
  <c r="M21" i="15"/>
  <c r="M30" i="15"/>
  <c r="M36" i="15"/>
  <c r="M45" i="15"/>
  <c r="J46" i="15" s="1"/>
  <c r="I97" i="4" s="1"/>
  <c r="M12" i="15"/>
  <c r="M27" i="15" s="1"/>
  <c r="M28" i="15" s="1"/>
  <c r="I96" i="4" s="1"/>
  <c r="L42" i="15"/>
  <c r="L24" i="15"/>
  <c r="L33" i="15"/>
  <c r="L21" i="15"/>
  <c r="L30" i="15"/>
  <c r="L9" i="15"/>
  <c r="I23" i="4" l="1"/>
  <c r="I49" i="4" s="1"/>
  <c r="I25" i="4" l="1"/>
  <c r="K52" i="4" l="1"/>
  <c r="K51" i="4" l="1"/>
  <c r="K50" i="4" l="1"/>
  <c r="I24" i="4" l="1"/>
  <c r="I26" i="4" l="1"/>
  <c r="B4" i="7"/>
  <c r="D3" i="7"/>
  <c r="D2" i="7"/>
  <c r="I146" i="4"/>
  <c r="I140" i="4"/>
  <c r="B129" i="4"/>
  <c r="B127" i="4"/>
  <c r="B126" i="4"/>
  <c r="B125" i="4"/>
  <c r="B124" i="4"/>
  <c r="B123" i="4"/>
  <c r="H112" i="4"/>
  <c r="H86" i="4"/>
  <c r="H82" i="4"/>
  <c r="H46" i="4"/>
  <c r="H35" i="4"/>
  <c r="I29" i="4" l="1"/>
  <c r="E4" i="7"/>
  <c r="H70" i="4"/>
  <c r="H72" i="4" s="1"/>
  <c r="I55" i="4"/>
  <c r="I61" i="4" s="1"/>
  <c r="I34" i="4" l="1"/>
  <c r="I33" i="4"/>
  <c r="I123" i="4"/>
  <c r="I35" i="4"/>
  <c r="I68" i="4" s="1"/>
  <c r="I70" i="4" l="1"/>
  <c r="I67" i="4"/>
  <c r="I71" i="4"/>
  <c r="I59" i="4"/>
  <c r="K36" i="4"/>
  <c r="I100" i="4" l="1"/>
  <c r="I127" i="4" s="1"/>
  <c r="I40" i="4"/>
  <c r="I41" i="4"/>
  <c r="I45" i="4"/>
  <c r="I66" i="4" s="1"/>
  <c r="I39" i="4"/>
  <c r="I38" i="4"/>
  <c r="I44" i="4"/>
  <c r="I43" i="4"/>
  <c r="I42" i="4"/>
  <c r="I46" i="4" l="1"/>
  <c r="I60" i="4" s="1"/>
  <c r="I62" i="4" s="1"/>
  <c r="I69" i="4" s="1"/>
  <c r="I72" i="4" s="1"/>
  <c r="I125" i="4" s="1"/>
  <c r="I124" i="4" l="1"/>
  <c r="K74" i="4"/>
  <c r="I86" i="4" l="1"/>
  <c r="I91" i="4" s="1"/>
  <c r="I79" i="4"/>
  <c r="I80" i="4"/>
  <c r="I77" i="4"/>
  <c r="I78" i="4"/>
  <c r="I81" i="4"/>
  <c r="I76" i="4"/>
  <c r="I82" i="4" l="1"/>
  <c r="I90" i="4" s="1"/>
  <c r="I92" i="4" s="1"/>
  <c r="I126" i="4" s="1"/>
  <c r="I128" i="4" s="1"/>
  <c r="I104" i="4" l="1"/>
  <c r="I105" i="4" s="1"/>
  <c r="I115" i="4" s="1"/>
  <c r="I117" i="4" s="1"/>
  <c r="I109" i="4" l="1"/>
  <c r="I119" i="4"/>
  <c r="I107" i="4"/>
  <c r="I145" i="4" s="1"/>
  <c r="I148" i="4" s="1"/>
  <c r="I108" i="4"/>
  <c r="I110" i="4" l="1"/>
  <c r="I129" i="4" s="1"/>
  <c r="I130" i="4" s="1"/>
  <c r="C164" i="4" s="1"/>
  <c r="C165" i="4" s="1"/>
  <c r="B162" i="4" l="1"/>
  <c r="D152" i="4"/>
  <c r="I147" i="4"/>
  <c r="E5" i="9"/>
  <c r="E9" i="9" s="1"/>
  <c r="F9" i="9" l="1"/>
  <c r="E13" i="9"/>
  <c r="F5" i="9"/>
  <c r="F13" i="9" l="1"/>
  <c r="E17" i="9"/>
  <c r="F17" i="9" s="1"/>
</calcChain>
</file>

<file path=xl/sharedStrings.xml><?xml version="1.0" encoding="utf-8"?>
<sst xmlns="http://schemas.openxmlformats.org/spreadsheetml/2006/main" count="472" uniqueCount="301">
  <si>
    <t>Item</t>
  </si>
  <si>
    <t>Profissional</t>
  </si>
  <si>
    <t>Unidade de medida</t>
  </si>
  <si>
    <t>quantidade</t>
  </si>
  <si>
    <t>Valor unitário</t>
  </si>
  <si>
    <t>Valor total</t>
  </si>
  <si>
    <t>Prestação de serviços de auxiliar de saúde bucal - 40h semanais (posto)</t>
  </si>
  <si>
    <t>Posto</t>
  </si>
  <si>
    <t>Categoria profissional: Auxiliar de saúde bucal</t>
  </si>
  <si>
    <t>Discriminação dos Serviços</t>
  </si>
  <si>
    <t>A</t>
  </si>
  <si>
    <t>Data de apresentação da proposta</t>
  </si>
  <si>
    <t>-</t>
  </si>
  <si>
    <t>B</t>
  </si>
  <si>
    <t>Município</t>
  </si>
  <si>
    <t>C</t>
  </si>
  <si>
    <t>Ano do Acordo, Convenção ou Dissídio Coletivo</t>
  </si>
  <si>
    <t>D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</si>
  <si>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</si>
  <si>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</si>
  <si>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</si>
  <si>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</si>
  <si>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</si>
  <si>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Auxiliar de saúde bucal</t>
  </si>
  <si>
    <t>Dados para composição dos custos referentes à mão-de-obra</t>
  </si>
  <si>
    <t>Tipo de serviço (mesmo serviço com características distintas)</t>
  </si>
  <si>
    <t>AUXILIAR DE SAÚDE BUCAL</t>
  </si>
  <si>
    <t>Classificação Brasileira de Ocupações (CBO)</t>
  </si>
  <si>
    <t>Salário Normativo da Categoria Profissional</t>
  </si>
  <si>
    <t>Categoria profissional (vinculada à execução contratual)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</si>
  <si>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</si>
  <si>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</si>
  <si>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</si>
  <si>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</si>
  <si>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</si>
  <si>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</si>
  <si>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>40h</t>
  </si>
  <si>
    <t xml:space="preserve">Adicional Periculosidade </t>
  </si>
  <si>
    <t>Adicional Insalubridade</t>
  </si>
  <si>
    <t>Adicional Noturno</t>
  </si>
  <si>
    <t>E</t>
  </si>
  <si>
    <t>Adicional de Hora Noturna Reduzida</t>
  </si>
  <si>
    <t>F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</si>
  <si>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</si>
  <si>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</si>
  <si>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</si>
  <si>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</si>
  <si>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r>
      <rPr>
        <sz val="10"/>
        <rFont val="Arial"/>
        <family val="2"/>
      </rPr>
      <t>13 (Décimo-terceiro) salário</t>
    </r>
    <r>
      <rPr>
        <sz val="10"/>
        <color indexed="10"/>
        <rFont val="Arial"/>
        <family val="2"/>
      </rPr>
      <t xml:space="preserve"> </t>
    </r>
  </si>
  <si>
    <t>Adicional de Férias</t>
  </si>
  <si>
    <t>TOTAL SUBMÓDULO 2.1</t>
  </si>
  <si>
    <t>BASE 2.2</t>
  </si>
  <si>
    <t>Submódulo 2.2 - GPS, FGTS e Outras Contribuições</t>
  </si>
  <si>
    <t xml:space="preserve">INSS </t>
  </si>
  <si>
    <t xml:space="preserve">Salário Educação </t>
  </si>
  <si>
    <t>SAT (Seguro Acidente de Trabalho)</t>
  </si>
  <si>
    <t>SESC ou SESI</t>
  </si>
  <si>
    <t xml:space="preserve">SENAI - SENAC </t>
  </si>
  <si>
    <t xml:space="preserve">SEBRAE </t>
  </si>
  <si>
    <t>G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</si>
  <si>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</si>
  <si>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</si>
  <si>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</si>
  <si>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</si>
  <si>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</si>
  <si>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 xml:space="preserve">Transporte </t>
  </si>
  <si>
    <t xml:space="preserve">Auxílio-Refeição/Alimentação </t>
  </si>
  <si>
    <t>PLANO DE SAÚDE</t>
  </si>
  <si>
    <t>Plano odontológico</t>
  </si>
  <si>
    <t xml:space="preserve">Contribuição Negocial Patronal </t>
  </si>
  <si>
    <t xml:space="preserve">Outros 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</si>
  <si>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</si>
  <si>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</si>
  <si>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</si>
  <si>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</si>
  <si>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</si>
  <si>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</si>
  <si>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</si>
  <si>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</si>
  <si>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</si>
  <si>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</si>
  <si>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</si>
  <si>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</si>
  <si>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</si>
  <si>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</si>
  <si>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>Multa do FGTS e Contribuição Social sobre o Aviso Prévio Indenizado</t>
  </si>
  <si>
    <t xml:space="preserve">Aviso Prévio Trabalhado </t>
  </si>
  <si>
    <t>Incidência de GPS, FGTS e outras contribuições sobre Aviso Prévio Trabalhado</t>
  </si>
  <si>
    <t xml:space="preserve">Multa do FGTS e Contribuição Social sobre o Aviso Prévio Trabalhado. </t>
  </si>
  <si>
    <t>TOTAL DO MÓDULO 3</t>
  </si>
  <si>
    <t>MÓDULO 4 – CUSTO DE REPOSIÇÃO DO PROFISSIONAL AUSENTE</t>
  </si>
  <si>
    <t>BASE 4</t>
  </si>
  <si>
    <t>Submódulo 4.1 - Substituto nas Ausências Legais</t>
  </si>
  <si>
    <t xml:space="preserve">Substituto na cobertura de Férias </t>
  </si>
  <si>
    <t>Substituto na cobertura de Ausências Legais</t>
  </si>
  <si>
    <t>Substituto na cobertura de Licença Paternidade</t>
  </si>
  <si>
    <r>
      <rPr>
        <sz val="10"/>
        <rFont val="Arial"/>
        <family val="2"/>
      </rPr>
      <t>Substituto na cobertura de Ausência por Acidente de Trabalho</t>
    </r>
    <r>
      <rPr>
        <sz val="10"/>
        <color indexed="10"/>
        <rFont val="Arial"/>
        <family val="2"/>
      </rPr>
      <t xml:space="preserve"> </t>
    </r>
  </si>
  <si>
    <t>Substituto na cobertura de Afastamento Maternidade</t>
  </si>
  <si>
    <t>Substituto na cobertura de Outras Ausências (Ausência por doença)</t>
  </si>
  <si>
    <t>TOTAL SUBMÓDULO 4.1</t>
  </si>
  <si>
    <t>Submódulo 4.2 - Substituto na Intrajornada</t>
  </si>
  <si>
    <t>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</si>
  <si>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</si>
  <si>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</si>
  <si>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</si>
  <si>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</si>
  <si>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Substituto nas Ausências Legais</t>
  </si>
  <si>
    <t>4.2</t>
  </si>
  <si>
    <t>Substituto na Intrajornada</t>
  </si>
  <si>
    <t>TOTAL DO MÓDULO 4</t>
  </si>
  <si>
    <t>MÓDULO 5 – INSUMOS DIVERSOS</t>
  </si>
  <si>
    <t>INSUMOS DIVERSOS</t>
  </si>
  <si>
    <t xml:space="preserve">Uniformes </t>
  </si>
  <si>
    <t>Materiais</t>
  </si>
  <si>
    <t>Equipamentos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</si>
  <si>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</si>
  <si>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</si>
  <si>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</si>
  <si>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</si>
  <si>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</si>
  <si>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</si>
  <si>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</si>
  <si>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</si>
  <si>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</si>
  <si>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</si>
  <si>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</si>
  <si>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</t>
  </si>
  <si>
    <t>TOTAL DO MÓDULO 6</t>
  </si>
  <si>
    <t>a)</t>
  </si>
  <si>
    <t>Tributos % = To = .............................................................</t>
  </si>
  <si>
    <t>b)</t>
  </si>
  <si>
    <t>(Total dos Módulos 1, 2, 3, 4 e 5+ Custos indiretos + lucro)= Po = ...................................</t>
  </si>
  <si>
    <t>c)</t>
  </si>
  <si>
    <t>Po / (1 - To) = P1 = ..............................................................................</t>
  </si>
  <si>
    <t>Valor dos Tributos = P1 - Po</t>
  </si>
  <si>
    <t>QUADRO RESUMO DO CUSTO POR EMPREGADO</t>
  </si>
  <si>
    <t>Mão-de-Obra vinculada à execução contratual (valor por empregado)</t>
  </si>
  <si>
    <t>Subtotal (A + B + C + D + E)</t>
  </si>
  <si>
    <t>PREÇO TOTAL POR EMPREGADO SEM DIÁRIAS</t>
  </si>
  <si>
    <t>Quantidade de empregados</t>
  </si>
  <si>
    <t>Quadro Resumo - VALOR MENSAL DOS SERVIÇOS</t>
  </si>
  <si>
    <t>Tipo de Serviço (A)</t>
  </si>
  <si>
    <t>Valor Por Empregado(B)</t>
  </si>
  <si>
    <t>Qde de Empregados por posto ( C )</t>
  </si>
  <si>
    <t>Valor Proposto por Posto (D) = (B x C)</t>
  </si>
  <si>
    <t>Qde Postos (E)</t>
  </si>
  <si>
    <t>Serviço 1 (indicar)</t>
  </si>
  <si>
    <t>R$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</si>
  <si>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</si>
  <si>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</si>
  <si>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</si>
  <si>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</si>
  <si>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</si>
  <si>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</si>
  <si>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</si>
  <si>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</si>
  <si>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</si>
  <si>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</si>
  <si>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</si>
  <si>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TOTAL</t>
  </si>
  <si>
    <t>Nota(1):</t>
  </si>
  <si>
    <t>Informar o valor da unidade de medida por tipo de serviço.</t>
  </si>
  <si>
    <t>Valor total do Posto</t>
  </si>
  <si>
    <t>Obs 1: De acordo com o entendimento do TCU no Acórdão nº 1.186/2017 - Plenário, a Administração "deve estabelecer na minuta do contrato que a parcela mensal a título de aviso prévio trabalhado será no percentual máximo de 1,94% no primeiro ano, e, em caso de prorrogação do contrato, o percentual máximo dessa parcela será de 0,194% a cada ano de prorrogação, a ser incluído por ocasião da formulação do aditivo da prorrogação do contrato, conforme a Lei 12.506/2011"</t>
  </si>
  <si>
    <t>Obs 2: Nas eventuais prorrogações do contrato, os custos não renováveis já pagos ou amortizados no primeiro ano da contratação deverão ser eliminados como condição para a renovação.</t>
  </si>
  <si>
    <t>Obs 3:os licitantes, quando tributados pelo regime de incidência não-cumulativa de PIS e COFINS, dever cotar na planilha de custos e formação de preços as alíquotas médias efetivamente recolhidas dessas contribuições.</t>
  </si>
  <si>
    <t>FATOR K</t>
  </si>
  <si>
    <t>PREÇO MENSAL</t>
  </si>
  <si>
    <t>PREÇO GLOBAL</t>
  </si>
  <si>
    <t>Área (m2)</t>
  </si>
  <si>
    <t>Produtividade IN 05/2017</t>
  </si>
  <si>
    <t>Quantidade apurada</t>
  </si>
  <si>
    <t>Quantidade de Serventes</t>
  </si>
  <si>
    <t>Área Interna</t>
  </si>
  <si>
    <t>Área Externa</t>
  </si>
  <si>
    <t>Nova Cruz</t>
  </si>
  <si>
    <t>3224-15</t>
  </si>
  <si>
    <t>MINISTÉRIO DA EDUCAÇÃO</t>
  </si>
  <si>
    <t>INSTITUTO FEDERAL DE EDUCAÇÃO CIÊNCIA E TECNOLOGIA DO RIO GRANDE DO NORTE</t>
  </si>
  <si>
    <r>
      <rPr>
        <b/>
        <i/>
        <sz val="12"/>
        <rFont val="Times New Roman"/>
        <family val="1"/>
      </rPr>
      <t>CAMPUS</t>
    </r>
    <r>
      <rPr>
        <b/>
        <sz val="12"/>
        <rFont val="Times New Roman"/>
        <family val="1"/>
      </rPr>
      <t xml:space="preserve"> NOVA CRUZ</t>
    </r>
  </si>
  <si>
    <t>Av. José Rodrigues de Aquino Filho, 640 - Alto de Santa Luzia, Nova Cruz - RN, 59215-000</t>
  </si>
  <si>
    <r>
      <t xml:space="preserve">PLANILHA DE INSUMOS - </t>
    </r>
    <r>
      <rPr>
        <b/>
        <i/>
        <u/>
        <sz val="22"/>
        <rFont val="Calibri"/>
        <family val="2"/>
      </rPr>
      <t>FARDAMENTO E EQUIPAMENTO DE PROTEÇÃO INDIVIDUAL</t>
    </r>
    <r>
      <rPr>
        <b/>
        <sz val="22"/>
        <rFont val="Calibri"/>
        <family val="2"/>
      </rPr>
      <t xml:space="preserve"> - CONTRATO DE MÃO DE OBRA</t>
    </r>
  </si>
  <si>
    <t>POSTO:  ITEM 02 - AUXILIAR DE SAÚDE BUCAL - NOVA CRUZ</t>
  </si>
  <si>
    <t>Nº</t>
  </si>
  <si>
    <t>DESCRIÇÃO</t>
  </si>
  <si>
    <t>UND</t>
  </si>
  <si>
    <t>PERÍODO</t>
  </si>
  <si>
    <t>QTD POR PERÍODO</t>
  </si>
  <si>
    <t>QTD TOTAL POR ANO</t>
  </si>
  <si>
    <t>PREÇO</t>
  </si>
  <si>
    <t>Parâmetro (IN 73/2020) / Fonte</t>
  </si>
  <si>
    <t>identificação da compra</t>
  </si>
  <si>
    <t>Fornecedor</t>
  </si>
  <si>
    <t>PREÇO MÉDIO ESTIMADO</t>
  </si>
  <si>
    <t>PREÇO ESTIMADO POR PERÍODO</t>
  </si>
  <si>
    <t>PREÇO ESTIMADO POR ANO</t>
  </si>
  <si>
    <t>MÉDIA DOS OUTROS PREÇOS EM RELAÇÃO E ESTE</t>
  </si>
  <si>
    <t>JUSTIFICATIVA PARA A DEMANDA</t>
  </si>
  <si>
    <t>Calça de brim, branca.</t>
  </si>
  <si>
    <t>UNIDADE</t>
  </si>
  <si>
    <t>SEMESTRAL</t>
  </si>
  <si>
    <t>art. 5º-I / Painel de Preços</t>
  </si>
  <si>
    <t>Pregão 02/2023 UASG 158161 Item 2</t>
  </si>
  <si>
    <t>GRACE ANNE ALVES DE LIMA - CNPJ 	14.577.865/0001-20</t>
  </si>
  <si>
    <t>Necessário um conjunto de fardamento para uso em dias alternados, possibilitando lavagem e secagem para reuso.</t>
  </si>
  <si>
    <t>Pregão 18/2023 UASG 135010 Item 21</t>
  </si>
  <si>
    <t>NM CONFECCOES LTDA CNPJ/CPF: 03.835.661/0001-25</t>
  </si>
  <si>
    <t>Pregão 81/2022 UASG  987885 Item 63</t>
  </si>
  <si>
    <t>H A ERBE E CIA LTDA CNPJ/CPF: 76.518.323/0001-33</t>
  </si>
  <si>
    <t>Camisa manga curta 100 % algodão com Logomarca da empresa. Tamanhos variados conforme aferição das medidas dos funcionários feita pela empresa.</t>
  </si>
  <si>
    <t>Pregão 37/2023 UASG 980495 Item 31</t>
  </si>
  <si>
    <t>INFINITI CONFECCAO LTDA CNPJ/CPF: 23.829.339/0001-09</t>
  </si>
  <si>
    <t>Pregão 30/2023 UASG 985661 Item 23</t>
  </si>
  <si>
    <t>DIATHEKE INDUSTRIA E COMERCIO LTDA CNPJ/CPF: 04.113.609/0001-28</t>
  </si>
  <si>
    <t>Pregão 22/2023 UASG 980389 Item 21</t>
  </si>
  <si>
    <t>F. DE ANDRADE ZANGIROLAMI CNPJ/CPF: 18.413.292/0001-50</t>
  </si>
  <si>
    <t>Jaleco longo, manga longa, de microfibra, gola tipo padre, três bolsos.</t>
  </si>
  <si>
    <t>ANUAL</t>
  </si>
  <si>
    <t>Pregão 27/2023 UASG 130058 Item 43</t>
  </si>
  <si>
    <t xml:space="preserve">	NM CONFECCOES LTDA CNPJ/CPF: 03.835.661/0001-25</t>
  </si>
  <si>
    <t>Pregão 143/2023 UASG 153164 Item 144</t>
  </si>
  <si>
    <t>VIVIANNE REZENDE PAES BARRETO CNPJ/CPF: 40.677.935/0001-21</t>
  </si>
  <si>
    <t>Pregão 06/2023 UASG 987809 Item 03</t>
  </si>
  <si>
    <t xml:space="preserve">	M2M CONFECCOES LTDA CNPJ/CPF: 48.135.786/0001-80</t>
  </si>
  <si>
    <t>Calçado ocupacional profissional, esportivo, fechamento de amarrar, antiderrapante.</t>
  </si>
  <si>
    <t>PAR</t>
  </si>
  <si>
    <t>Pregão 99/2023 UASG 987649 Item 09</t>
  </si>
  <si>
    <t xml:space="preserve">	CARLOS EDUARDO DE SOUZA BORGES LTDA CNPJ/CPF: 07.067.855/0001-89</t>
  </si>
  <si>
    <t>Necessário para proteção da ASB, com uma substituição do par a cada seis meses.</t>
  </si>
  <si>
    <t>Pregão 25/2023 UASG 154054 Item 169</t>
  </si>
  <si>
    <t xml:space="preserve">	AKIRA COMERCIAL LTDA CNPJ/CPF: 25.106.928/0001-86</t>
  </si>
  <si>
    <t xml:space="preserve">Pregão 01/2023 UASG 926995 Item 84 </t>
  </si>
  <si>
    <t>JC COMERCIO E EMPREENDIMENTOS LTDA CNPJ/CPF: 15.104.655/0001-87</t>
  </si>
  <si>
    <t>Meia cano médio cor branca.</t>
  </si>
  <si>
    <t>Pregão 171/2023 UASG 984445 Item 03</t>
  </si>
  <si>
    <t xml:space="preserve">	BC SANTOS COMERCIO E REPRESENTACOES LTDA CNPJ/CPF: 45.118.371/0001-00</t>
  </si>
  <si>
    <t>Quantidade necessária para  uso em dias alternados, possibilitando lavagem e secagem para reuso.</t>
  </si>
  <si>
    <t>Pregão 10/2022 UASG 160044 Item 31</t>
  </si>
  <si>
    <t xml:space="preserve">	ELVIA DE ARAUJO RODRIGUES
CNPJ/CPF: 19.670.675/0001-76</t>
  </si>
  <si>
    <t>Pregão 22/2023 UASG 983677 Item 30</t>
  </si>
  <si>
    <t>BRUNA ALVES DE SOUZA CNPJ/CPF: 26.176.661/0001-66</t>
  </si>
  <si>
    <t>Cartão de identificação</t>
  </si>
  <si>
    <t xml:space="preserve">Pregão 38/2023 UASG 980543 Item 245 </t>
  </si>
  <si>
    <t>NPE COMERCIO E SERVICOS LTDA CNPJ/CPF: 41.101.724/0001-09</t>
  </si>
  <si>
    <t>Necessário para identificação da funcionária (crachá).</t>
  </si>
  <si>
    <t>Pregão 10/2023 UASG 070024  Item 19</t>
  </si>
  <si>
    <t>EVOLUA TECNOLOGIC COMERCIO E SERVICOS LTDA CNPJ/CPF: 24.525.161/0001-67</t>
  </si>
  <si>
    <t>Pregão 9/2023 UASG 154054 Item 10</t>
  </si>
  <si>
    <t xml:space="preserve">	AMAZONAS COMERCIO DE ADESIVOS E BRINDES LTDA CNPJ/CPF: 11.383.230/0001-01</t>
  </si>
  <si>
    <t>VALOR TOTAL POR ANO</t>
  </si>
  <si>
    <t>VALOR MENSAL POR FUNCIONÁRIO</t>
  </si>
  <si>
    <t>Luva de procedimento, látex, com pó bioabsorvível, anatômica, ambidestra, caixa com 100 unidades.</t>
  </si>
  <si>
    <t>CAIXA</t>
  </si>
  <si>
    <t>TRIMESTRAL</t>
  </si>
  <si>
    <t>Pregão 05/2023 UASG 257033 Item 84</t>
  </si>
  <si>
    <t>FAST MED DISTRIBUIDORA DE PRODUTOS HOSPITALARES LTDA CNPJ/CPF: 34.895.127/0001-38</t>
  </si>
  <si>
    <t>Produto necessário para minimizar o risco biológico da ASB durante o atendimento e limpeza dos instrumentais, além de contribuir com a biossegurança no consultório odontológico. Previsão de uso: mínimo de 528 unidades por trimestre.</t>
  </si>
  <si>
    <t>Pregão 74/2023 UASG 158146 Item 422</t>
  </si>
  <si>
    <t>H S MELO LTDA
CNPJ/CPF: 30.202.812/0001-80</t>
  </si>
  <si>
    <t>Prgeão 3/2023 UASG 980283 Item 182</t>
  </si>
  <si>
    <t>TD MED DISTRIBUIDORA DE MEDICAMENTOS ODONTOLOGICOS LTDA CNPJ/CPF: 28.463.625/0001-09</t>
  </si>
  <si>
    <t>Máscara tripla camada de filtragem, clipe nasal, com elástico, descartável, caixa com 50 unidades.</t>
  </si>
  <si>
    <t>Pregão 35/2023 UASG 070027 Item 20</t>
  </si>
  <si>
    <t>DENTAL REDENCAO COM. DE PROD. ODONTOLGICOS LTDA CNPJ/CPF: 11.670.904/0001-40</t>
  </si>
  <si>
    <t>Produto necessário para minimizar o risco biológico da ASB no ambiente de trabalho. Previsão de uso: mínimo de 132 unidades por trimestre.</t>
  </si>
  <si>
    <t>Pregão 23/2023 UASG 926625 Item 19</t>
  </si>
  <si>
    <t xml:space="preserve">	SJ COMERCIO DE UTILIDADES LTDA CNPJ/CPF: 10.614.788/0001-80</t>
  </si>
  <si>
    <t>Pregão 26/2022 UASG 080022 Item 106</t>
  </si>
  <si>
    <t xml:space="preserve">	AMDA SECURITY IMPORTADORA LTDA CNPJ/CPF: 14.793.395/0001-31</t>
  </si>
  <si>
    <t>Respirador N95 ou pff-2 sem válvula</t>
  </si>
  <si>
    <t>Pregão 138/2022 UASG 925387 Item 46</t>
  </si>
  <si>
    <t>RG LUNA LTDA CNPJ/CPF: 44.223.965/0001-19</t>
  </si>
  <si>
    <t>Produto necessário para minimizar o risco biológico da ASB durante o atendimento e limpeza dos instrumentais, além de contribuir com a biossegurança no consultório odontológico. Previsão de uso: mínimo de 66 unidades mais um acréscimo de 20% para substituição em caso de sujidade visível ao longo do dia, por trimestre.</t>
  </si>
  <si>
    <t>Pregão 68/2023 UASG 9855176 Item 187</t>
  </si>
  <si>
    <t xml:space="preserve">	J DE BRITO - DISTRIBUIDORA DE MEDICAMENTOS E CORRELATOS LTDA CNPJ/CPF:32.282.308/0001-63</t>
  </si>
  <si>
    <t>Pregão 327/2022 UASG 926775 Item 38</t>
  </si>
  <si>
    <t>LA VIE MEDICAL LTDA CNPJ/CPF: 44.607.099/0001-60</t>
  </si>
  <si>
    <t>Touca TNT descartável sanfonada.</t>
  </si>
  <si>
    <t>PACOTE</t>
  </si>
  <si>
    <t>Pregão 18/2023 UASG 160160 Item 123</t>
  </si>
  <si>
    <t>MELLUZZI DISTRIBUIDORA DE MEDICAMENTOS LTDA CNPJ/CPF: 26.174.873/0001-04</t>
  </si>
  <si>
    <t>Produto necessário para minimizar o risco biológico da ASB durante o atendimento e limpeza dos instrumentais, além de contribuir com a biossegurança no consultório odontológico. Previsão de uso: mínimo de 132 unidades por trimestre.</t>
  </si>
  <si>
    <t>Pregão 102/2023 UASG 983403 Iem 17</t>
  </si>
  <si>
    <t xml:space="preserve">	PRATES PRODUTOS MEDICOS ODONTOLOGICOS LTDA CNPJ/CPF: 20.778.471/0001-32</t>
  </si>
  <si>
    <t>Pregão 7/2023 UASG 160528 Item 87</t>
  </si>
  <si>
    <t>HOSPLIVE DISTRIBUIDORA DE MATERIAIS HOSPITALARES LTDA CNPJ/CPF: 46.321.558/0001-70</t>
  </si>
  <si>
    <t>Luva de limpeza de borracha.</t>
  </si>
  <si>
    <t>Pregão 58/2023 UASG 120631 Item 52</t>
  </si>
  <si>
    <t>MASTERSUL EQUIPAMENTOS DE SEGURANCA LTDA CNPJ/CPF: 18.274.923/0001-05</t>
  </si>
  <si>
    <t>Produto necessário para minimizar o risco biológico da ASB durante a limpeza dos instrumentais, além de contribuir com a biossegurança no consultório odontológico. Previsão de uso: mínimo de 1 par mais um sobressalente por trimestre.</t>
  </si>
  <si>
    <t>Pregão 8/2023 UASG 926827 Item 36</t>
  </si>
  <si>
    <t>ATLAS EQUIPAMENTOS LTDA CNPJ/CPF: 44.219.136/0001-62</t>
  </si>
  <si>
    <t>Pregão 11/2023 UASG 158099 Item 08</t>
  </si>
  <si>
    <t xml:space="preserve">	AGREGA DISTRIBUIDORA LTDA
CNPJ/CPF: 49.834.027/0001-79</t>
  </si>
  <si>
    <t>TOTAL DO ITEM (ANUAL)</t>
  </si>
  <si>
    <t>TOTAL POR POSTO (MENSAL) =&gt; TOTAL DO ITEM (ANUAL) / 12 MESES</t>
  </si>
  <si>
    <t>IFRN CAMPUS PARNAMIRIM (ÓRGÃO PARTICIPANTE)</t>
  </si>
  <si>
    <t>IFRN CAMPUS NOVA CRUZ (ÓRGÃO GERENCIADOR)</t>
  </si>
  <si>
    <t>IFRN CAMPUS NOVA CANGUARETAMA (ÓRGÃO PARTICIPANTE)</t>
  </si>
  <si>
    <t>IFRN CAMPUS SÃO PAULO DO POTENGI (ÓRGÃO PARTICIPANTE)</t>
  </si>
  <si>
    <t>VALOR TOTAL ESTIMADO DA CONTRATAÇÃO (PERÍODO DE 24 MESES)</t>
  </si>
  <si>
    <t>PLANILHA DE CUSTOS - RESUMO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</si>
</sst>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0.0%"/>
    <numFmt numFmtId="168" formatCode="&quot;R$&quot;\ #,##0.00"/>
    <numFmt numFmtId="169" formatCode="&quot;R$&quot;#,##0.00"/>
    <numFmt numFmtId="170" formatCode="_(&quot;R$ &quot;* #,##0.0000_);_(&quot;R$ &quot;* \(#,##0.0000\);_(&quot;R$ &quot;* &quot;-&quot;??_);_(@_)"/>
  </numFmts>
  <fonts count="18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22"/>
      <name val="Calibri"/>
      <family val="2"/>
    </font>
    <font>
      <b/>
      <i/>
      <u/>
      <sz val="2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3" fillId="0" borderId="0" applyFill="0" applyBorder="0" applyAlignment="0" applyProtection="0"/>
    <xf numFmtId="166" fontId="3" fillId="0" borderId="0" applyFill="0" applyBorder="0" applyAlignment="0" applyProtection="0"/>
    <xf numFmtId="0" fontId="3" fillId="0" borderId="0"/>
  </cellStyleXfs>
  <cellXfs count="165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0" fillId="5" borderId="1" xfId="0" applyNumberForma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" fontId="2" fillId="0" borderId="1" xfId="0" applyNumberFormat="1" applyFont="1" applyBorder="1"/>
    <xf numFmtId="2" fontId="2" fillId="0" borderId="0" xfId="0" applyNumberFormat="1" applyFont="1"/>
    <xf numFmtId="0" fontId="2" fillId="0" borderId="0" xfId="0" applyFont="1"/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10" fontId="0" fillId="0" borderId="1" xfId="0" applyNumberFormat="1" applyBorder="1" applyAlignment="1">
      <alignment horizontal="center"/>
    </xf>
    <xf numFmtId="0" fontId="5" fillId="0" borderId="2" xfId="0" applyFont="1" applyBorder="1" applyAlignment="1">
      <alignment horizontal="center"/>
    </xf>
    <xf numFmtId="10" fontId="5" fillId="0" borderId="3" xfId="1" applyNumberFormat="1" applyFont="1" applyBorder="1" applyAlignment="1"/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10" fontId="5" fillId="0" borderId="0" xfId="1" applyNumberFormat="1" applyFont="1" applyBorder="1" applyAlignment="1"/>
    <xf numFmtId="0" fontId="4" fillId="0" borderId="13" xfId="0" applyFont="1" applyBorder="1"/>
    <xf numFmtId="0" fontId="5" fillId="0" borderId="14" xfId="0" applyFont="1" applyBorder="1" applyAlignment="1">
      <alignment horizontal="center"/>
    </xf>
    <xf numFmtId="10" fontId="5" fillId="0" borderId="12" xfId="1" applyNumberFormat="1" applyFont="1" applyBorder="1" applyAlignment="1"/>
    <xf numFmtId="2" fontId="0" fillId="0" borderId="1" xfId="0" applyNumberFormat="1" applyBorder="1" applyAlignment="1">
      <alignment horizontal="center"/>
    </xf>
    <xf numFmtId="2" fontId="5" fillId="0" borderId="4" xfId="0" applyNumberFormat="1" applyFont="1" applyBorder="1"/>
    <xf numFmtId="2" fontId="5" fillId="0" borderId="15" xfId="0" applyNumberFormat="1" applyFont="1" applyBorder="1"/>
    <xf numFmtId="2" fontId="5" fillId="0" borderId="16" xfId="0" applyNumberFormat="1" applyFont="1" applyBorder="1"/>
    <xf numFmtId="166" fontId="2" fillId="0" borderId="0" xfId="2" applyFont="1"/>
    <xf numFmtId="10" fontId="3" fillId="0" borderId="1" xfId="1" applyNumberFormat="1" applyBorder="1" applyAlignment="1">
      <alignment horizontal="center"/>
    </xf>
    <xf numFmtId="10" fontId="3" fillId="0" borderId="1" xfId="1" applyNumberFormat="1" applyFill="1" applyBorder="1" applyAlignment="1">
      <alignment horizontal="center"/>
    </xf>
    <xf numFmtId="9" fontId="0" fillId="0" borderId="1" xfId="0" applyNumberFormat="1" applyBorder="1"/>
    <xf numFmtId="10" fontId="0" fillId="0" borderId="1" xfId="0" applyNumberFormat="1" applyBorder="1"/>
    <xf numFmtId="10" fontId="3" fillId="0" borderId="1" xfId="1" applyNumberFormat="1" applyBorder="1" applyAlignment="1"/>
    <xf numFmtId="167" fontId="3" fillId="0" borderId="1" xfId="1" applyNumberFormat="1" applyBorder="1" applyAlignment="1"/>
    <xf numFmtId="9" fontId="3" fillId="0" borderId="1" xfId="1" applyBorder="1" applyAlignment="1"/>
    <xf numFmtId="2" fontId="0" fillId="0" borderId="0" xfId="0" applyNumberFormat="1"/>
    <xf numFmtId="43" fontId="0" fillId="0" borderId="0" xfId="0" applyNumberFormat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0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3" fillId="5" borderId="1" xfId="0" applyNumberFormat="1" applyFont="1" applyFill="1" applyBorder="1" applyAlignment="1">
      <alignment horizontal="center"/>
    </xf>
    <xf numFmtId="2" fontId="3" fillId="0" borderId="1" xfId="0" applyNumberFormat="1" applyFont="1" applyBorder="1"/>
    <xf numFmtId="169" fontId="0" fillId="0" borderId="0" xfId="0" applyNumberFormat="1"/>
    <xf numFmtId="168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166" fontId="13" fillId="0" borderId="1" xfId="2" applyFont="1" applyBorder="1" applyAlignment="1">
      <alignment horizontal="center" vertical="center" wrapText="1"/>
    </xf>
    <xf numFmtId="170" fontId="13" fillId="0" borderId="1" xfId="2" applyNumberFormat="1" applyFont="1" applyFill="1" applyBorder="1" applyAlignment="1">
      <alignment horizontal="center" vertical="center" wrapText="1"/>
    </xf>
    <xf numFmtId="166" fontId="13" fillId="0" borderId="1" xfId="2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6" fontId="14" fillId="5" borderId="1" xfId="2" applyFont="1" applyFill="1" applyBorder="1" applyAlignment="1">
      <alignment horizontal="center" vertical="center" wrapText="1"/>
    </xf>
    <xf numFmtId="166" fontId="14" fillId="5" borderId="1" xfId="2" applyFont="1" applyFill="1" applyBorder="1" applyAlignment="1">
      <alignment horizontal="center" vertical="center"/>
    </xf>
    <xf numFmtId="166" fontId="14" fillId="0" borderId="1" xfId="2" applyFon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/>
    </xf>
    <xf numFmtId="49" fontId="15" fillId="0" borderId="18" xfId="3" applyNumberFormat="1" applyFont="1" applyBorder="1" applyAlignment="1">
      <alignment horizontal="justify" vertical="center" wrapText="1"/>
    </xf>
    <xf numFmtId="0" fontId="1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66" fontId="14" fillId="10" borderId="1" xfId="2" applyFont="1" applyFill="1" applyBorder="1" applyAlignment="1">
      <alignment horizontal="center" vertical="center" wrapText="1"/>
    </xf>
    <xf numFmtId="166" fontId="14" fillId="10" borderId="1" xfId="2" applyFont="1" applyFill="1" applyBorder="1" applyAlignment="1">
      <alignment horizontal="center" vertical="center"/>
    </xf>
    <xf numFmtId="166" fontId="14" fillId="5" borderId="17" xfId="2" applyFont="1" applyFill="1" applyBorder="1" applyAlignment="1">
      <alignment horizontal="center" vertical="center"/>
    </xf>
    <xf numFmtId="166" fontId="14" fillId="5" borderId="17" xfId="2" applyFont="1" applyFill="1" applyBorder="1" applyAlignment="1">
      <alignment horizontal="center" vertical="center" wrapText="1"/>
    </xf>
    <xf numFmtId="166" fontId="14" fillId="10" borderId="17" xfId="2" applyFont="1" applyFill="1" applyBorder="1" applyAlignment="1">
      <alignment horizontal="center" vertical="center" wrapText="1"/>
    </xf>
    <xf numFmtId="166" fontId="14" fillId="10" borderId="17" xfId="2" applyFont="1" applyFill="1" applyBorder="1" applyAlignment="1">
      <alignment horizontal="center" vertical="center"/>
    </xf>
    <xf numFmtId="166" fontId="13" fillId="8" borderId="23" xfId="2" applyFont="1" applyFill="1" applyBorder="1" applyAlignment="1">
      <alignment horizontal="center" vertical="center"/>
    </xf>
    <xf numFmtId="9" fontId="0" fillId="0" borderId="6" xfId="1" applyFont="1" applyFill="1" applyBorder="1" applyAlignment="1">
      <alignment horizontal="center"/>
    </xf>
    <xf numFmtId="166" fontId="14" fillId="0" borderId="19" xfId="2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vertical="center"/>
    </xf>
    <xf numFmtId="0" fontId="17" fillId="8" borderId="8" xfId="0" applyFont="1" applyFill="1" applyBorder="1" applyAlignment="1">
      <alignment vertical="center" wrapText="1"/>
    </xf>
    <xf numFmtId="0" fontId="0" fillId="8" borderId="8" xfId="0" applyFill="1" applyBorder="1" applyAlignment="1">
      <alignment vertical="center"/>
    </xf>
    <xf numFmtId="0" fontId="16" fillId="8" borderId="8" xfId="0" applyFont="1" applyFill="1" applyBorder="1" applyAlignment="1">
      <alignment vertical="center" wrapText="1"/>
    </xf>
    <xf numFmtId="166" fontId="7" fillId="8" borderId="8" xfId="2" applyFont="1" applyFill="1" applyBorder="1" applyAlignment="1">
      <alignment vertical="center"/>
    </xf>
    <xf numFmtId="166" fontId="7" fillId="8" borderId="1" xfId="2" applyFont="1" applyFill="1" applyBorder="1" applyAlignment="1">
      <alignment vertical="center"/>
    </xf>
    <xf numFmtId="166" fontId="7" fillId="0" borderId="1" xfId="2" applyFont="1" applyBorder="1"/>
    <xf numFmtId="166" fontId="7" fillId="8" borderId="19" xfId="0" applyNumberFormat="1" applyFont="1" applyFill="1" applyBorder="1" applyAlignment="1">
      <alignment vertical="center" wrapText="1"/>
    </xf>
    <xf numFmtId="166" fontId="7" fillId="0" borderId="19" xfId="2" applyFont="1" applyFill="1" applyBorder="1" applyAlignment="1">
      <alignment vertical="center"/>
    </xf>
    <xf numFmtId="166" fontId="7" fillId="0" borderId="0" xfId="2" applyFont="1" applyFill="1" applyBorder="1" applyAlignment="1">
      <alignment vertical="center"/>
    </xf>
    <xf numFmtId="166" fontId="1" fillId="0" borderId="0" xfId="2" applyFont="1" applyAlignment="1">
      <alignment horizontal="center"/>
    </xf>
    <xf numFmtId="0" fontId="0" fillId="0" borderId="0" xfId="0" applyAlignment="1">
      <alignment wrapText="1"/>
    </xf>
    <xf numFmtId="168" fontId="2" fillId="11" borderId="1" xfId="0" applyNumberFormat="1" applyFont="1" applyFill="1" applyBorder="1"/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" xfId="0" applyBorder="1"/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1" xfId="0" applyFont="1" applyBorder="1"/>
    <xf numFmtId="0" fontId="2" fillId="6" borderId="1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6" borderId="7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5" fillId="0" borderId="17" xfId="3" applyNumberFormat="1" applyFont="1" applyBorder="1" applyAlignment="1">
      <alignment horizontal="justify" vertical="center" wrapText="1"/>
    </xf>
    <xf numFmtId="49" fontId="15" fillId="0" borderId="18" xfId="3" applyNumberFormat="1" applyFont="1" applyBorder="1" applyAlignment="1">
      <alignment horizontal="justify" vertical="center" wrapText="1"/>
    </xf>
    <xf numFmtId="49" fontId="15" fillId="0" borderId="19" xfId="3" applyNumberFormat="1" applyFont="1" applyBorder="1" applyAlignment="1">
      <alignment horizontal="justify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8" fillId="9" borderId="0" xfId="0" applyFont="1" applyFill="1" applyAlignment="1">
      <alignment horizontal="center"/>
    </xf>
    <xf numFmtId="170" fontId="8" fillId="9" borderId="0" xfId="0" applyNumberFormat="1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170" fontId="10" fillId="9" borderId="0" xfId="0" applyNumberFormat="1" applyFont="1" applyFill="1" applyAlignment="1">
      <alignment horizontal="center"/>
    </xf>
    <xf numFmtId="0" fontId="11" fillId="9" borderId="0" xfId="0" applyFont="1" applyFill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left" vertical="center" wrapText="1"/>
    </xf>
    <xf numFmtId="0" fontId="11" fillId="8" borderId="8" xfId="0" applyFont="1" applyFill="1" applyBorder="1" applyAlignment="1">
      <alignment horizontal="left" vertical="center" wrapText="1"/>
    </xf>
    <xf numFmtId="0" fontId="11" fillId="8" borderId="6" xfId="0" applyFont="1" applyFill="1" applyBorder="1" applyAlignment="1">
      <alignment horizontal="left" vertical="center" wrapText="1"/>
    </xf>
    <xf numFmtId="166" fontId="14" fillId="0" borderId="1" xfId="2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6" fontId="14" fillId="0" borderId="17" xfId="2" applyFont="1" applyFill="1" applyBorder="1" applyAlignment="1">
      <alignment horizontal="center" vertical="center"/>
    </xf>
    <xf numFmtId="49" fontId="13" fillId="8" borderId="20" xfId="0" applyNumberFormat="1" applyFont="1" applyFill="1" applyBorder="1" applyAlignment="1">
      <alignment horizontal="center" vertical="center"/>
    </xf>
    <xf numFmtId="49" fontId="13" fillId="8" borderId="21" xfId="0" applyNumberFormat="1" applyFont="1" applyFill="1" applyBorder="1" applyAlignment="1">
      <alignment horizontal="center" vertical="center"/>
    </xf>
    <xf numFmtId="49" fontId="13" fillId="8" borderId="22" xfId="0" applyNumberFormat="1" applyFont="1" applyFill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</cellXfs>
  <cellStyles count="4">
    <cellStyle name="Moeda" xfId="2" builtinId="4"/>
    <cellStyle name="Normal" xfId="0" builtinId="0"/>
    <cellStyle name="Normal_Plan7" xfId="3" xr:uid="{22EC8360-C479-47ED-8D1D-9D4C3231183B}"/>
    <cellStyle name="Porcentagem" xfId="1" builtinId="5"/>
  </cellStyles>
  <dxfs count="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0</xdr:colOff>
      <xdr:row>3</xdr:row>
      <xdr:rowOff>112058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5CD1B2B-CDCD-47DA-8B5A-D666F469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466725" cy="674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A75B6-7F57-49EA-BE3A-2FA6E0820A76}">
  <sheetPr>
    <pageSetUpPr fitToPage="1"/>
  </sheetPr>
  <dimension ref="A1:I19"/>
  <sheetViews>
    <sheetView workbookViewId="0">
      <selection activeCell="F19" sqref="F19"/>
    </sheetView>
  </sheetViews>
  <sheetFormatPr defaultRowHeight="13.2"/>
  <cols>
    <col min="2" max="2" width="22.88671875" customWidth="1"/>
    <col min="3" max="3" width="20.5546875" customWidth="1"/>
    <col min="4" max="4" width="10.6640625" customWidth="1"/>
    <col min="5" max="5" width="14.6640625" customWidth="1"/>
    <col min="6" max="6" width="15" customWidth="1"/>
    <col min="9" max="9" width="14.109375" bestFit="1" customWidth="1"/>
  </cols>
  <sheetData>
    <row r="1" spans="1:9">
      <c r="A1" s="89" t="s">
        <v>300</v>
      </c>
      <c r="B1" s="89"/>
      <c r="C1" s="89"/>
      <c r="D1" s="89"/>
      <c r="E1" s="89"/>
      <c r="F1" s="89"/>
    </row>
    <row r="3" spans="1:9">
      <c r="A3" s="90" t="s">
        <v>296</v>
      </c>
      <c r="B3" s="91"/>
      <c r="C3" s="91"/>
      <c r="D3" s="91"/>
      <c r="E3" s="91"/>
      <c r="F3" s="92"/>
    </row>
    <row r="4" spans="1:9">
      <c r="A4" s="47" t="s">
        <v>0</v>
      </c>
      <c r="B4" s="47" t="s">
        <v>1</v>
      </c>
      <c r="C4" s="47" t="s">
        <v>2</v>
      </c>
      <c r="D4" s="47" t="s">
        <v>3</v>
      </c>
      <c r="E4" s="47" t="s">
        <v>4</v>
      </c>
      <c r="F4" s="1" t="s">
        <v>5</v>
      </c>
    </row>
    <row r="5" spans="1:9" ht="39.6">
      <c r="A5" s="40">
        <v>1</v>
      </c>
      <c r="B5" s="46" t="s">
        <v>6</v>
      </c>
      <c r="C5" s="45" t="s">
        <v>7</v>
      </c>
      <c r="D5" s="40">
        <v>24</v>
      </c>
      <c r="E5" s="41">
        <f>'Auxiliar de saúde Nova Cruz'!I130</f>
        <v>4142.76</v>
      </c>
      <c r="F5" s="41">
        <f>D5*E5</f>
        <v>99426.240000000005</v>
      </c>
      <c r="I5" s="50"/>
    </row>
    <row r="7" spans="1:9">
      <c r="A7" s="90" t="s">
        <v>295</v>
      </c>
      <c r="B7" s="91"/>
      <c r="C7" s="91"/>
      <c r="D7" s="91"/>
      <c r="E7" s="91"/>
      <c r="F7" s="92"/>
    </row>
    <row r="8" spans="1:9">
      <c r="A8" s="47" t="s">
        <v>0</v>
      </c>
      <c r="B8" s="47" t="s">
        <v>1</v>
      </c>
      <c r="C8" s="47" t="s">
        <v>2</v>
      </c>
      <c r="D8" s="47" t="s">
        <v>3</v>
      </c>
      <c r="E8" s="47" t="s">
        <v>4</v>
      </c>
      <c r="F8" s="1" t="s">
        <v>5</v>
      </c>
    </row>
    <row r="9" spans="1:9" ht="39.6">
      <c r="A9" s="40">
        <v>1</v>
      </c>
      <c r="B9" s="46" t="s">
        <v>6</v>
      </c>
      <c r="C9" s="45" t="s">
        <v>7</v>
      </c>
      <c r="D9" s="40">
        <v>24</v>
      </c>
      <c r="E9" s="41">
        <f>E5</f>
        <v>4142.76</v>
      </c>
      <c r="F9" s="41">
        <f>D9*E9</f>
        <v>99426.240000000005</v>
      </c>
    </row>
    <row r="11" spans="1:9">
      <c r="A11" s="90" t="s">
        <v>297</v>
      </c>
      <c r="B11" s="91"/>
      <c r="C11" s="91"/>
      <c r="D11" s="91"/>
      <c r="E11" s="91"/>
      <c r="F11" s="92"/>
    </row>
    <row r="12" spans="1:9">
      <c r="A12" s="47" t="s">
        <v>0</v>
      </c>
      <c r="B12" s="47" t="s">
        <v>1</v>
      </c>
      <c r="C12" s="47" t="s">
        <v>2</v>
      </c>
      <c r="D12" s="47" t="s">
        <v>3</v>
      </c>
      <c r="E12" s="47" t="s">
        <v>4</v>
      </c>
      <c r="F12" s="1" t="s">
        <v>5</v>
      </c>
    </row>
    <row r="13" spans="1:9" ht="39.6">
      <c r="A13" s="40">
        <v>1</v>
      </c>
      <c r="B13" s="46" t="s">
        <v>6</v>
      </c>
      <c r="C13" s="45" t="s">
        <v>7</v>
      </c>
      <c r="D13" s="40">
        <v>24</v>
      </c>
      <c r="E13" s="41">
        <f>E9</f>
        <v>4142.76</v>
      </c>
      <c r="F13" s="41">
        <f>D13*E13</f>
        <v>99426.240000000005</v>
      </c>
    </row>
    <row r="15" spans="1:9">
      <c r="A15" s="90" t="s">
        <v>298</v>
      </c>
      <c r="B15" s="91"/>
      <c r="C15" s="91"/>
      <c r="D15" s="91"/>
      <c r="E15" s="91"/>
      <c r="F15" s="92"/>
    </row>
    <row r="16" spans="1:9">
      <c r="A16" s="47" t="s">
        <v>0</v>
      </c>
      <c r="B16" s="47" t="s">
        <v>1</v>
      </c>
      <c r="C16" s="47" t="s">
        <v>2</v>
      </c>
      <c r="D16" s="47" t="s">
        <v>3</v>
      </c>
      <c r="E16" s="47" t="s">
        <v>4</v>
      </c>
      <c r="F16" s="1" t="s">
        <v>5</v>
      </c>
    </row>
    <row r="17" spans="1:6" ht="39.6">
      <c r="A17" s="40">
        <v>1</v>
      </c>
      <c r="B17" s="46" t="s">
        <v>6</v>
      </c>
      <c r="C17" s="45" t="s">
        <v>7</v>
      </c>
      <c r="D17" s="40">
        <v>24</v>
      </c>
      <c r="E17" s="41">
        <f>E13</f>
        <v>4142.76</v>
      </c>
      <c r="F17" s="41">
        <f>D17*E17</f>
        <v>99426.240000000005</v>
      </c>
    </row>
    <row r="19" spans="1:6">
      <c r="A19" s="88" t="s">
        <v>299</v>
      </c>
      <c r="B19" s="88"/>
      <c r="C19" s="88"/>
      <c r="D19" s="88"/>
      <c r="E19" s="88"/>
      <c r="F19" s="87">
        <f>F5+F9+F13+F17</f>
        <v>397704.96000000002</v>
      </c>
    </row>
  </sheetData>
  <mergeCells count="6">
    <mergeCell ref="A19:E19"/>
    <mergeCell ref="A1:F1"/>
    <mergeCell ref="A3:F3"/>
    <mergeCell ref="A7:F7"/>
    <mergeCell ref="A11:F11"/>
    <mergeCell ref="A15:F15"/>
  </mergeCells>
  <pageMargins left="0.511811024" right="0.511811024" top="0.78740157499999996" bottom="0.78740157499999996" header="0.31496062000000002" footer="0.31496062000000002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K167"/>
  <sheetViews>
    <sheetView topLeftCell="A112" zoomScale="140" zoomScaleNormal="140" workbookViewId="0">
      <selection activeCell="C165" sqref="C165"/>
    </sheetView>
  </sheetViews>
  <sheetFormatPr defaultColWidth="9.109375" defaultRowHeight="13.2"/>
  <cols>
    <col min="1" max="1" width="10" customWidth="1"/>
    <col min="2" max="2" width="11.44140625" customWidth="1"/>
    <col min="3" max="3" width="15" customWidth="1"/>
    <col min="4" max="4" width="14.109375" customWidth="1"/>
    <col min="5" max="5" width="17.5546875" customWidth="1"/>
    <col min="6" max="6" width="14.5546875" customWidth="1"/>
    <col min="7" max="7" width="19.109375" customWidth="1"/>
    <col min="8" max="8" width="11" bestFit="1" customWidth="1"/>
    <col min="9" max="9" width="17.109375" customWidth="1"/>
    <col min="10" max="10" width="9.5546875" customWidth="1"/>
    <col min="11" max="11" width="14" customWidth="1"/>
    <col min="13" max="13" width="9.5546875" customWidth="1"/>
  </cols>
  <sheetData>
    <row r="1" spans="1:9">
      <c r="A1" s="134"/>
      <c r="B1" s="134"/>
      <c r="C1" s="134"/>
      <c r="D1" s="134"/>
      <c r="E1" s="134"/>
      <c r="F1" s="134"/>
      <c r="G1" s="134"/>
      <c r="H1" s="134"/>
      <c r="I1" s="134"/>
    </row>
    <row r="2" spans="1:9">
      <c r="A2" s="135" t="s">
        <v>8</v>
      </c>
      <c r="B2" s="135"/>
      <c r="C2" s="135"/>
      <c r="D2" s="135"/>
      <c r="E2" s="135"/>
      <c r="F2" s="135"/>
      <c r="G2" s="135"/>
      <c r="H2" s="135"/>
      <c r="I2" s="135"/>
    </row>
    <row r="3" spans="1:9">
      <c r="A3" s="5"/>
      <c r="B3" s="5"/>
      <c r="C3" s="5"/>
      <c r="D3" s="5"/>
      <c r="E3" s="5"/>
      <c r="F3" s="5"/>
      <c r="G3" s="5"/>
      <c r="H3" s="5"/>
      <c r="I3" s="5"/>
    </row>
    <row r="4" spans="1:9">
      <c r="A4" s="136" t="s">
        <v>9</v>
      </c>
      <c r="B4" s="136"/>
      <c r="C4" s="136"/>
      <c r="D4" s="136"/>
      <c r="E4" s="136"/>
      <c r="F4" s="136"/>
      <c r="G4" s="136"/>
      <c r="H4" s="136"/>
      <c r="I4" s="136"/>
    </row>
    <row r="5" spans="1:9">
      <c r="A5" s="2" t="s">
        <v>10</v>
      </c>
      <c r="B5" s="98" t="s">
        <v>11</v>
      </c>
      <c r="C5" s="98"/>
      <c r="D5" s="98"/>
      <c r="E5" s="98"/>
      <c r="F5" s="98"/>
      <c r="G5" s="98"/>
      <c r="H5" s="133" t="s">
        <v>12</v>
      </c>
      <c r="I5" s="99"/>
    </row>
    <row r="6" spans="1:9">
      <c r="A6" s="2" t="s">
        <v>13</v>
      </c>
      <c r="B6" s="98" t="s">
        <v>14</v>
      </c>
      <c r="C6" s="98"/>
      <c r="D6" s="98"/>
      <c r="E6" s="98"/>
      <c r="F6" s="98"/>
      <c r="G6" s="98"/>
      <c r="H6" s="131" t="s">
        <v>174</v>
      </c>
      <c r="I6" s="99"/>
    </row>
    <row r="7" spans="1:9">
      <c r="A7" s="2" t="s">
        <v>15</v>
      </c>
      <c r="B7" s="98" t="s">
        <v>16</v>
      </c>
      <c r="C7" s="98"/>
      <c r="D7" s="98"/>
      <c r="E7" s="98"/>
      <c r="F7" s="98"/>
      <c r="G7" s="98"/>
      <c r="H7" s="131" t="s">
        <v>12</v>
      </c>
      <c r="I7" s="99"/>
    </row>
    <row r="8" spans="1:9">
      <c r="A8" s="2" t="s">
        <v>17</v>
      </c>
      <c r="B8" s="98" t="s">
        <v>18</v>
      </c>
      <c r="C8" s="98"/>
      <c r="D8" s="98"/>
      <c r="E8" s="98"/>
      <c r="F8" s="98"/>
      <c r="G8" s="98"/>
      <c r="H8" s="99">
        <v>12</v>
      </c>
      <c r="I8" s="99"/>
    </row>
    <row r="9" spans="1:9">
      <c r="A9" s="6"/>
      <c r="B9" s="5"/>
      <c r="C9" s="5"/>
      <c r="D9" s="5"/>
      <c r="E9" s="5"/>
      <c r="F9" s="5"/>
      <c r="G9" s="5"/>
      <c r="H9" s="6"/>
      <c r="I9" s="6"/>
    </row>
    <row r="10" spans="1:9">
      <c r="A10" s="136" t="s">
        <v>19</v>
      </c>
      <c r="B10" s="136"/>
      <c r="C10" s="136"/>
      <c r="D10" s="136"/>
      <c r="E10" s="136"/>
      <c r="F10" s="136"/>
      <c r="G10" s="136"/>
      <c r="H10" s="136"/>
      <c r="I10" s="136"/>
    </row>
    <row r="11" spans="1:9">
      <c r="A11" s="99" t="s">
        <v>20</v>
      </c>
      <c r="B11" s="99"/>
      <c r="C11" s="99" t="s">
        <v>21</v>
      </c>
      <c r="D11" s="99"/>
      <c r="E11" s="99" t="s">
        <v>22</v>
      </c>
      <c r="F11" s="99"/>
      <c r="G11" s="99"/>
      <c r="H11" s="99"/>
      <c r="I11" s="99"/>
    </row>
    <row r="12" spans="1:9">
      <c r="A12" s="99" t="s">
        <v>23</v>
      </c>
      <c r="B12" s="99"/>
      <c r="C12" s="99" t="s">
        <v>7</v>
      </c>
      <c r="D12" s="99"/>
      <c r="E12" s="99">
        <v>1</v>
      </c>
      <c r="F12" s="99"/>
      <c r="G12" s="99"/>
      <c r="H12" s="99"/>
      <c r="I12" s="99"/>
    </row>
    <row r="13" spans="1:9">
      <c r="A13" s="6"/>
      <c r="B13" s="5"/>
      <c r="C13" s="5"/>
      <c r="D13" s="5"/>
      <c r="E13" s="5"/>
      <c r="F13" s="5"/>
      <c r="G13" s="5"/>
      <c r="H13" s="6"/>
      <c r="I13" s="6"/>
    </row>
    <row r="14" spans="1:9">
      <c r="A14" s="136" t="s">
        <v>24</v>
      </c>
      <c r="B14" s="136"/>
      <c r="C14" s="136"/>
      <c r="D14" s="136"/>
      <c r="E14" s="136"/>
      <c r="F14" s="136"/>
      <c r="G14" s="136"/>
      <c r="H14" s="136"/>
      <c r="I14" s="136"/>
    </row>
    <row r="15" spans="1:9">
      <c r="A15" s="2">
        <v>1</v>
      </c>
      <c r="B15" s="98" t="s">
        <v>25</v>
      </c>
      <c r="C15" s="98"/>
      <c r="D15" s="98"/>
      <c r="E15" s="98"/>
      <c r="F15" s="98"/>
      <c r="G15" s="98"/>
      <c r="H15" s="131" t="s">
        <v>26</v>
      </c>
      <c r="I15" s="99"/>
    </row>
    <row r="16" spans="1:9">
      <c r="A16" s="2">
        <v>2</v>
      </c>
      <c r="B16" s="98" t="s">
        <v>27</v>
      </c>
      <c r="C16" s="98"/>
      <c r="D16" s="98"/>
      <c r="E16" s="98"/>
      <c r="F16" s="98"/>
      <c r="G16" s="98"/>
      <c r="H16" s="131" t="s">
        <v>175</v>
      </c>
      <c r="I16" s="99"/>
    </row>
    <row r="17" spans="1:11">
      <c r="A17" s="2">
        <v>3</v>
      </c>
      <c r="B17" s="98" t="s">
        <v>28</v>
      </c>
      <c r="C17" s="98"/>
      <c r="D17" s="98"/>
      <c r="E17" s="98"/>
      <c r="F17" s="98"/>
      <c r="G17" s="98"/>
      <c r="H17" s="132">
        <v>1412</v>
      </c>
      <c r="I17" s="99"/>
    </row>
    <row r="18" spans="1:11">
      <c r="A18" s="2">
        <v>4</v>
      </c>
      <c r="B18" s="98" t="s">
        <v>29</v>
      </c>
      <c r="C18" s="98"/>
      <c r="D18" s="98"/>
      <c r="E18" s="98"/>
      <c r="F18" s="98"/>
      <c r="G18" s="98"/>
      <c r="H18" s="99" t="s">
        <v>23</v>
      </c>
      <c r="I18" s="99"/>
    </row>
    <row r="19" spans="1:11">
      <c r="A19" s="2">
        <v>5</v>
      </c>
      <c r="B19" s="98" t="s">
        <v>30</v>
      </c>
      <c r="C19" s="98"/>
      <c r="D19" s="98"/>
      <c r="E19" s="98"/>
      <c r="F19" s="98"/>
      <c r="G19" s="98"/>
      <c r="H19" s="133" t="s">
        <v>12</v>
      </c>
      <c r="I19" s="99"/>
    </row>
    <row r="20" spans="1:11">
      <c r="A20" s="134"/>
      <c r="B20" s="134"/>
      <c r="C20" s="134"/>
      <c r="D20" s="134"/>
      <c r="E20" s="134"/>
      <c r="F20" s="134"/>
      <c r="G20" s="134"/>
      <c r="H20" s="134"/>
      <c r="I20" s="134"/>
    </row>
    <row r="21" spans="1:11">
      <c r="A21" s="115" t="s">
        <v>31</v>
      </c>
      <c r="B21" s="115"/>
      <c r="C21" s="115"/>
      <c r="D21" s="115"/>
      <c r="E21" s="115"/>
      <c r="F21" s="115"/>
      <c r="G21" s="115"/>
      <c r="H21" s="115"/>
      <c r="I21" s="115"/>
    </row>
    <row r="22" spans="1:11">
      <c r="A22" s="1">
        <v>1</v>
      </c>
      <c r="B22" s="100" t="s">
        <v>32</v>
      </c>
      <c r="C22" s="100"/>
      <c r="D22" s="100"/>
      <c r="E22" s="100"/>
      <c r="F22" s="100"/>
      <c r="G22" s="100"/>
      <c r="H22" s="1" t="s">
        <v>33</v>
      </c>
      <c r="I22" s="1" t="s">
        <v>34</v>
      </c>
    </row>
    <row r="23" spans="1:11">
      <c r="A23" s="1" t="s">
        <v>10</v>
      </c>
      <c r="B23" s="98" t="s">
        <v>35</v>
      </c>
      <c r="C23" s="98"/>
      <c r="D23" s="98"/>
      <c r="E23" s="98"/>
      <c r="F23" s="98"/>
      <c r="G23" s="98"/>
      <c r="H23" s="52" t="s">
        <v>36</v>
      </c>
      <c r="I23" s="14">
        <f>H17</f>
        <v>1412</v>
      </c>
    </row>
    <row r="24" spans="1:11">
      <c r="A24" s="1" t="s">
        <v>13</v>
      </c>
      <c r="B24" s="98" t="s">
        <v>37</v>
      </c>
      <c r="C24" s="98"/>
      <c r="D24" s="98"/>
      <c r="E24" s="98"/>
      <c r="F24" s="98"/>
      <c r="G24" s="98"/>
      <c r="H24" s="30">
        <v>0</v>
      </c>
      <c r="I24" s="15">
        <f>I23*H24</f>
        <v>0</v>
      </c>
      <c r="K24" s="37"/>
    </row>
    <row r="25" spans="1:11">
      <c r="A25" s="1" t="s">
        <v>15</v>
      </c>
      <c r="B25" s="98" t="s">
        <v>38</v>
      </c>
      <c r="C25" s="98"/>
      <c r="D25" s="98"/>
      <c r="E25" s="98"/>
      <c r="F25" s="98"/>
      <c r="G25" s="98"/>
      <c r="H25" s="30">
        <v>0.2</v>
      </c>
      <c r="I25" s="15">
        <f>H25*I23</f>
        <v>282.40000000000003</v>
      </c>
    </row>
    <row r="26" spans="1:11">
      <c r="A26" s="1" t="s">
        <v>17</v>
      </c>
      <c r="B26" s="98" t="s">
        <v>39</v>
      </c>
      <c r="C26" s="98"/>
      <c r="D26" s="98"/>
      <c r="E26" s="98"/>
      <c r="F26" s="98"/>
      <c r="G26" s="98"/>
      <c r="H26" s="30">
        <v>0</v>
      </c>
      <c r="I26" s="15">
        <f>(((I23+I24)/220)*H26*8*15)</f>
        <v>0</v>
      </c>
    </row>
    <row r="27" spans="1:11">
      <c r="A27" s="1" t="s">
        <v>40</v>
      </c>
      <c r="B27" s="98" t="s">
        <v>41</v>
      </c>
      <c r="C27" s="98"/>
      <c r="D27" s="98"/>
      <c r="E27" s="98"/>
      <c r="F27" s="98"/>
      <c r="G27" s="98"/>
      <c r="H27" s="31"/>
      <c r="I27" s="15">
        <v>0</v>
      </c>
    </row>
    <row r="28" spans="1:11">
      <c r="A28" s="1" t="s">
        <v>42</v>
      </c>
      <c r="B28" s="98" t="s">
        <v>43</v>
      </c>
      <c r="C28" s="98"/>
      <c r="D28" s="98"/>
      <c r="E28" s="98"/>
      <c r="F28" s="98"/>
      <c r="G28" s="98"/>
      <c r="H28" s="30"/>
      <c r="I28" s="15">
        <v>0</v>
      </c>
    </row>
    <row r="29" spans="1:11">
      <c r="A29" s="100" t="s">
        <v>44</v>
      </c>
      <c r="B29" s="100"/>
      <c r="C29" s="100"/>
      <c r="D29" s="100"/>
      <c r="E29" s="100"/>
      <c r="F29" s="100"/>
      <c r="G29" s="100"/>
      <c r="H29" s="100"/>
      <c r="I29" s="11">
        <f>TRUNC(SUM(I23:I28),2)</f>
        <v>1694.4</v>
      </c>
    </row>
    <row r="30" spans="1:11">
      <c r="A30" s="7"/>
      <c r="B30" s="7"/>
      <c r="C30" s="7"/>
      <c r="D30" s="7"/>
      <c r="E30" s="7"/>
      <c r="F30" s="7"/>
      <c r="G30" s="7"/>
      <c r="H30" s="7"/>
      <c r="I30" s="12"/>
    </row>
    <row r="31" spans="1:11">
      <c r="A31" s="115" t="s">
        <v>45</v>
      </c>
      <c r="B31" s="115"/>
      <c r="C31" s="115"/>
      <c r="D31" s="115"/>
      <c r="E31" s="115"/>
      <c r="F31" s="115"/>
      <c r="G31" s="115"/>
      <c r="H31" s="115"/>
      <c r="I31" s="115"/>
    </row>
    <row r="32" spans="1:11">
      <c r="A32" s="100" t="s">
        <v>46</v>
      </c>
      <c r="B32" s="100"/>
      <c r="C32" s="100"/>
      <c r="D32" s="100"/>
      <c r="E32" s="100"/>
      <c r="F32" s="100"/>
      <c r="G32" s="100"/>
      <c r="H32" s="1" t="s">
        <v>33</v>
      </c>
      <c r="I32" s="1" t="s">
        <v>34</v>
      </c>
    </row>
    <row r="33" spans="1:11">
      <c r="A33" s="1" t="s">
        <v>10</v>
      </c>
      <c r="B33" s="98" t="s">
        <v>47</v>
      </c>
      <c r="C33" s="98"/>
      <c r="D33" s="98"/>
      <c r="E33" s="98"/>
      <c r="F33" s="98"/>
      <c r="G33" s="98"/>
      <c r="H33" s="16">
        <v>8.3299999999999999E-2</v>
      </c>
      <c r="I33" s="15">
        <f>TRUNC($I$29*H33,2)</f>
        <v>141.13999999999999</v>
      </c>
    </row>
    <row r="34" spans="1:11">
      <c r="A34" s="1" t="s">
        <v>13</v>
      </c>
      <c r="B34" s="98" t="s">
        <v>48</v>
      </c>
      <c r="C34" s="98"/>
      <c r="D34" s="98"/>
      <c r="E34" s="98"/>
      <c r="F34" s="98"/>
      <c r="G34" s="98"/>
      <c r="H34" s="8">
        <v>3.0300000000000001E-2</v>
      </c>
      <c r="I34" s="15">
        <f>TRUNC(H34*I29,2)</f>
        <v>51.34</v>
      </c>
    </row>
    <row r="35" spans="1:11">
      <c r="A35" s="100" t="s">
        <v>49</v>
      </c>
      <c r="B35" s="100"/>
      <c r="C35" s="100"/>
      <c r="D35" s="100"/>
      <c r="E35" s="100"/>
      <c r="F35" s="100"/>
      <c r="G35" s="100"/>
      <c r="H35" s="9">
        <f>TRUNC(SUM(H33:H34),4)</f>
        <v>0.11360000000000001</v>
      </c>
      <c r="I35" s="11">
        <f>TRUNC(SUM(I33:I34),2)</f>
        <v>192.48</v>
      </c>
    </row>
    <row r="36" spans="1:11">
      <c r="A36" s="129"/>
      <c r="B36" s="130"/>
      <c r="C36" s="130"/>
      <c r="D36" s="130"/>
      <c r="E36" s="130"/>
      <c r="F36" s="130"/>
      <c r="G36" s="130"/>
      <c r="H36" s="130"/>
      <c r="I36" s="130"/>
      <c r="J36" s="13" t="s">
        <v>50</v>
      </c>
      <c r="K36" s="29">
        <f>I29+I35</f>
        <v>1886.88</v>
      </c>
    </row>
    <row r="37" spans="1:11">
      <c r="A37" s="100" t="s">
        <v>51</v>
      </c>
      <c r="B37" s="100"/>
      <c r="C37" s="100"/>
      <c r="D37" s="100"/>
      <c r="E37" s="100"/>
      <c r="F37" s="100"/>
      <c r="G37" s="100"/>
      <c r="H37" s="1" t="s">
        <v>33</v>
      </c>
      <c r="I37" s="1" t="s">
        <v>34</v>
      </c>
    </row>
    <row r="38" spans="1:11">
      <c r="A38" s="1" t="s">
        <v>10</v>
      </c>
      <c r="B38" s="98" t="s">
        <v>52</v>
      </c>
      <c r="C38" s="98"/>
      <c r="D38" s="98"/>
      <c r="E38" s="98"/>
      <c r="F38" s="98"/>
      <c r="G38" s="98"/>
      <c r="H38" s="16">
        <v>0.2</v>
      </c>
      <c r="I38" s="15">
        <f>H38*$K$36</f>
        <v>377.37600000000003</v>
      </c>
    </row>
    <row r="39" spans="1:11">
      <c r="A39" s="1" t="s">
        <v>13</v>
      </c>
      <c r="B39" s="98" t="s">
        <v>53</v>
      </c>
      <c r="C39" s="98"/>
      <c r="D39" s="98"/>
      <c r="E39" s="98"/>
      <c r="F39" s="98"/>
      <c r="G39" s="98"/>
      <c r="H39" s="16">
        <v>2.5000000000000001E-2</v>
      </c>
      <c r="I39" s="15">
        <f t="shared" ref="I39:I45" si="0">H39*$K$36</f>
        <v>47.172000000000004</v>
      </c>
    </row>
    <row r="40" spans="1:11">
      <c r="A40" s="1" t="s">
        <v>15</v>
      </c>
      <c r="B40" s="98" t="s">
        <v>54</v>
      </c>
      <c r="C40" s="98"/>
      <c r="D40" s="98"/>
      <c r="E40" s="98"/>
      <c r="F40" s="98"/>
      <c r="G40" s="98"/>
      <c r="H40" s="16">
        <v>0.03</v>
      </c>
      <c r="I40" s="15">
        <f t="shared" si="0"/>
        <v>56.606400000000001</v>
      </c>
    </row>
    <row r="41" spans="1:11">
      <c r="A41" s="1" t="s">
        <v>17</v>
      </c>
      <c r="B41" s="98" t="s">
        <v>55</v>
      </c>
      <c r="C41" s="98"/>
      <c r="D41" s="98"/>
      <c r="E41" s="98"/>
      <c r="F41" s="98"/>
      <c r="G41" s="98"/>
      <c r="H41" s="16">
        <v>1.4999999999999999E-2</v>
      </c>
      <c r="I41" s="15">
        <f t="shared" si="0"/>
        <v>28.3032</v>
      </c>
    </row>
    <row r="42" spans="1:11">
      <c r="A42" s="1" t="s">
        <v>40</v>
      </c>
      <c r="B42" s="98" t="s">
        <v>56</v>
      </c>
      <c r="C42" s="98"/>
      <c r="D42" s="98"/>
      <c r="E42" s="98"/>
      <c r="F42" s="98"/>
      <c r="G42" s="98"/>
      <c r="H42" s="16">
        <v>0.01</v>
      </c>
      <c r="I42" s="15">
        <f t="shared" si="0"/>
        <v>18.8688</v>
      </c>
    </row>
    <row r="43" spans="1:11">
      <c r="A43" s="1" t="s">
        <v>42</v>
      </c>
      <c r="B43" s="98" t="s">
        <v>57</v>
      </c>
      <c r="C43" s="98"/>
      <c r="D43" s="98"/>
      <c r="E43" s="98"/>
      <c r="F43" s="98"/>
      <c r="G43" s="98"/>
      <c r="H43" s="16">
        <v>6.0000000000000001E-3</v>
      </c>
      <c r="I43" s="15">
        <f t="shared" si="0"/>
        <v>11.321280000000002</v>
      </c>
    </row>
    <row r="44" spans="1:11">
      <c r="A44" s="1" t="s">
        <v>58</v>
      </c>
      <c r="B44" s="98" t="s">
        <v>59</v>
      </c>
      <c r="C44" s="98"/>
      <c r="D44" s="98"/>
      <c r="E44" s="98"/>
      <c r="F44" s="98"/>
      <c r="G44" s="98"/>
      <c r="H44" s="16">
        <v>2E-3</v>
      </c>
      <c r="I44" s="15">
        <f t="shared" si="0"/>
        <v>3.7737600000000002</v>
      </c>
    </row>
    <row r="45" spans="1:11">
      <c r="A45" s="1" t="s">
        <v>60</v>
      </c>
      <c r="B45" s="98" t="s">
        <v>61</v>
      </c>
      <c r="C45" s="98"/>
      <c r="D45" s="98"/>
      <c r="E45" s="98"/>
      <c r="F45" s="98"/>
      <c r="G45" s="98"/>
      <c r="H45" s="16">
        <v>0.08</v>
      </c>
      <c r="I45" s="15">
        <f t="shared" si="0"/>
        <v>150.9504</v>
      </c>
    </row>
    <row r="46" spans="1:11">
      <c r="A46" s="100" t="s">
        <v>62</v>
      </c>
      <c r="B46" s="100"/>
      <c r="C46" s="100"/>
      <c r="D46" s="100"/>
      <c r="E46" s="100"/>
      <c r="F46" s="100"/>
      <c r="G46" s="100"/>
      <c r="H46" s="9">
        <f>SUM(H38:H45)</f>
        <v>0.36800000000000005</v>
      </c>
      <c r="I46" s="11">
        <f>TRUNC(SUM(I38:I45),2)</f>
        <v>694.37</v>
      </c>
    </row>
    <row r="47" spans="1:11">
      <c r="A47" s="124"/>
      <c r="B47" s="124"/>
      <c r="C47" s="124"/>
      <c r="D47" s="124"/>
      <c r="E47" s="124"/>
      <c r="F47" s="124"/>
      <c r="G47" s="124"/>
      <c r="H47" s="124"/>
      <c r="I47" s="125"/>
    </row>
    <row r="48" spans="1:11">
      <c r="A48" s="100" t="s">
        <v>63</v>
      </c>
      <c r="B48" s="100"/>
      <c r="C48" s="100"/>
      <c r="D48" s="100"/>
      <c r="E48" s="100"/>
      <c r="F48" s="100"/>
      <c r="G48" s="100"/>
      <c r="H48" s="9"/>
      <c r="I48" s="1" t="s">
        <v>34</v>
      </c>
    </row>
    <row r="49" spans="1:11">
      <c r="A49" s="1" t="s">
        <v>10</v>
      </c>
      <c r="B49" s="116" t="s">
        <v>64</v>
      </c>
      <c r="C49" s="112"/>
      <c r="D49" s="112"/>
      <c r="E49" s="112"/>
      <c r="F49" s="112"/>
      <c r="G49" s="112"/>
      <c r="H49" s="2" t="s">
        <v>12</v>
      </c>
      <c r="I49" s="14">
        <f>(22*2*5.9)-I23*0.06</f>
        <v>174.88000000000002</v>
      </c>
    </row>
    <row r="50" spans="1:11">
      <c r="A50" s="1" t="s">
        <v>13</v>
      </c>
      <c r="B50" s="116" t="s">
        <v>65</v>
      </c>
      <c r="C50" s="112"/>
      <c r="D50" s="112"/>
      <c r="E50" s="112"/>
      <c r="F50" s="112"/>
      <c r="G50" s="112"/>
      <c r="H50" s="2" t="s">
        <v>12</v>
      </c>
      <c r="I50" s="14" t="s">
        <v>12</v>
      </c>
      <c r="K50" s="37">
        <f>568.04*12.47%+568.04</f>
        <v>638.8745879999999</v>
      </c>
    </row>
    <row r="51" spans="1:11">
      <c r="A51" s="1" t="s">
        <v>15</v>
      </c>
      <c r="B51" s="112" t="s">
        <v>66</v>
      </c>
      <c r="C51" s="112"/>
      <c r="D51" s="112"/>
      <c r="E51" s="112"/>
      <c r="F51" s="112"/>
      <c r="G51" s="112"/>
      <c r="H51" s="2" t="s">
        <v>12</v>
      </c>
      <c r="I51" s="14" t="s">
        <v>12</v>
      </c>
      <c r="K51" s="37">
        <f>105.29*12.13%+105.29</f>
        <v>118.061677</v>
      </c>
    </row>
    <row r="52" spans="1:11">
      <c r="A52" s="1" t="s">
        <v>17</v>
      </c>
      <c r="B52" s="126" t="s">
        <v>67</v>
      </c>
      <c r="C52" s="127"/>
      <c r="D52" s="127"/>
      <c r="E52" s="127"/>
      <c r="F52" s="127"/>
      <c r="G52" s="128"/>
      <c r="H52" s="2" t="s">
        <v>12</v>
      </c>
      <c r="I52" s="14" t="s">
        <v>12</v>
      </c>
      <c r="K52" s="37">
        <f>11.83*12.13%+11.83</f>
        <v>13.264979</v>
      </c>
    </row>
    <row r="53" spans="1:11">
      <c r="A53" s="1" t="s">
        <v>40</v>
      </c>
      <c r="B53" s="126" t="s">
        <v>68</v>
      </c>
      <c r="C53" s="127"/>
      <c r="D53" s="127"/>
      <c r="E53" s="127"/>
      <c r="F53" s="127"/>
      <c r="G53" s="128"/>
      <c r="H53" s="2" t="s">
        <v>12</v>
      </c>
      <c r="I53" s="14" t="s">
        <v>12</v>
      </c>
    </row>
    <row r="54" spans="1:11">
      <c r="A54" s="1" t="s">
        <v>42</v>
      </c>
      <c r="B54" s="112" t="s">
        <v>69</v>
      </c>
      <c r="C54" s="112"/>
      <c r="D54" s="112"/>
      <c r="E54" s="112"/>
      <c r="F54" s="112"/>
      <c r="G54" s="112"/>
      <c r="H54" s="2" t="s">
        <v>12</v>
      </c>
      <c r="I54" s="14" t="s">
        <v>12</v>
      </c>
    </row>
    <row r="55" spans="1:11">
      <c r="A55" s="100" t="s">
        <v>70</v>
      </c>
      <c r="B55" s="100"/>
      <c r="C55" s="100"/>
      <c r="D55" s="100"/>
      <c r="E55" s="100"/>
      <c r="F55" s="100"/>
      <c r="G55" s="100"/>
      <c r="H55" s="100"/>
      <c r="I55" s="11">
        <f>SUM(I49:I54)</f>
        <v>174.88000000000002</v>
      </c>
    </row>
    <row r="56" spans="1:11">
      <c r="A56" s="124"/>
      <c r="B56" s="124"/>
      <c r="C56" s="124"/>
      <c r="D56" s="124"/>
      <c r="E56" s="124"/>
      <c r="F56" s="124"/>
      <c r="G56" s="124"/>
      <c r="H56" s="124"/>
      <c r="I56" s="125"/>
    </row>
    <row r="57" spans="1:11">
      <c r="A57" s="107" t="s">
        <v>71</v>
      </c>
      <c r="B57" s="107"/>
      <c r="C57" s="107"/>
      <c r="D57" s="107"/>
      <c r="E57" s="107"/>
      <c r="F57" s="107"/>
      <c r="G57" s="107"/>
      <c r="H57" s="107"/>
      <c r="I57" s="107"/>
    </row>
    <row r="58" spans="1:11">
      <c r="A58" s="100" t="s">
        <v>72</v>
      </c>
      <c r="B58" s="100"/>
      <c r="C58" s="100"/>
      <c r="D58" s="100"/>
      <c r="E58" s="100"/>
      <c r="F58" s="100"/>
      <c r="G58" s="100"/>
      <c r="H58" s="100"/>
      <c r="I58" s="1" t="s">
        <v>34</v>
      </c>
    </row>
    <row r="59" spans="1:11">
      <c r="A59" s="1" t="s">
        <v>73</v>
      </c>
      <c r="B59" s="99" t="s">
        <v>74</v>
      </c>
      <c r="C59" s="99"/>
      <c r="D59" s="99"/>
      <c r="E59" s="99"/>
      <c r="F59" s="99"/>
      <c r="G59" s="99"/>
      <c r="H59" s="99"/>
      <c r="I59" s="15">
        <f>I35</f>
        <v>192.48</v>
      </c>
    </row>
    <row r="60" spans="1:11">
      <c r="A60" s="1" t="s">
        <v>75</v>
      </c>
      <c r="B60" s="99" t="s">
        <v>76</v>
      </c>
      <c r="C60" s="99"/>
      <c r="D60" s="99"/>
      <c r="E60" s="99"/>
      <c r="F60" s="99"/>
      <c r="G60" s="99"/>
      <c r="H60" s="99"/>
      <c r="I60" s="15">
        <f>I46</f>
        <v>694.37</v>
      </c>
    </row>
    <row r="61" spans="1:11">
      <c r="A61" s="1" t="s">
        <v>77</v>
      </c>
      <c r="B61" s="99" t="s">
        <v>78</v>
      </c>
      <c r="C61" s="99"/>
      <c r="D61" s="99"/>
      <c r="E61" s="99"/>
      <c r="F61" s="99"/>
      <c r="G61" s="99"/>
      <c r="H61" s="99"/>
      <c r="I61" s="15">
        <f>I55</f>
        <v>174.88000000000002</v>
      </c>
    </row>
    <row r="62" spans="1:11">
      <c r="A62" s="100" t="s">
        <v>79</v>
      </c>
      <c r="B62" s="100"/>
      <c r="C62" s="100"/>
      <c r="D62" s="100"/>
      <c r="E62" s="100"/>
      <c r="F62" s="100"/>
      <c r="G62" s="100"/>
      <c r="H62" s="100"/>
      <c r="I62" s="11">
        <f>TRUNC(SUM(I59:I61),2)</f>
        <v>1061.73</v>
      </c>
    </row>
    <row r="63" spans="1:11">
      <c r="A63" s="113"/>
      <c r="B63" s="114"/>
      <c r="C63" s="114"/>
      <c r="D63" s="114"/>
      <c r="E63" s="114"/>
      <c r="F63" s="114"/>
      <c r="G63" s="114"/>
      <c r="H63" s="114"/>
      <c r="I63" s="114"/>
    </row>
    <row r="64" spans="1:11">
      <c r="A64" s="115" t="s">
        <v>80</v>
      </c>
      <c r="B64" s="115"/>
      <c r="C64" s="115"/>
      <c r="D64" s="115"/>
      <c r="E64" s="115"/>
      <c r="F64" s="115"/>
      <c r="G64" s="115"/>
      <c r="H64" s="115"/>
      <c r="I64" s="115"/>
    </row>
    <row r="65" spans="1:11">
      <c r="A65" s="1">
        <v>3</v>
      </c>
      <c r="B65" s="100" t="s">
        <v>81</v>
      </c>
      <c r="C65" s="100"/>
      <c r="D65" s="100"/>
      <c r="E65" s="100"/>
      <c r="F65" s="100"/>
      <c r="G65" s="100"/>
      <c r="H65" s="1" t="s">
        <v>33</v>
      </c>
      <c r="I65" s="1" t="s">
        <v>34</v>
      </c>
    </row>
    <row r="66" spans="1:11">
      <c r="A66" s="1" t="s">
        <v>10</v>
      </c>
      <c r="B66" s="98" t="s">
        <v>82</v>
      </c>
      <c r="C66" s="98"/>
      <c r="D66" s="98"/>
      <c r="E66" s="98"/>
      <c r="F66" s="98"/>
      <c r="G66" s="98"/>
      <c r="H66" s="16">
        <v>4.1999999999999997E-3</v>
      </c>
      <c r="I66" s="15">
        <f>($I$29+$I$35+$I$45+$I$55)*H66</f>
        <v>9.2933836799999998</v>
      </c>
    </row>
    <row r="67" spans="1:11">
      <c r="A67" s="1" t="s">
        <v>13</v>
      </c>
      <c r="B67" s="98" t="s">
        <v>83</v>
      </c>
      <c r="C67" s="98"/>
      <c r="D67" s="98"/>
      <c r="E67" s="98"/>
      <c r="F67" s="98"/>
      <c r="G67" s="98"/>
      <c r="H67" s="16">
        <v>3.3599999999999998E-4</v>
      </c>
      <c r="I67" s="15">
        <f>H67*($I$29+$I$35)</f>
        <v>0.63399167999999995</v>
      </c>
      <c r="K67" s="44"/>
    </row>
    <row r="68" spans="1:11">
      <c r="A68" s="1" t="s">
        <v>15</v>
      </c>
      <c r="B68" s="98" t="s">
        <v>84</v>
      </c>
      <c r="C68" s="98"/>
      <c r="D68" s="98"/>
      <c r="E68" s="98"/>
      <c r="F68" s="98"/>
      <c r="G68" s="98"/>
      <c r="H68" s="16">
        <v>1.6000000000000001E-3</v>
      </c>
      <c r="I68" s="15">
        <f>($I$29+$I$35)*H68</f>
        <v>3.0190080000000004</v>
      </c>
    </row>
    <row r="69" spans="1:11">
      <c r="A69" s="1" t="s">
        <v>17</v>
      </c>
      <c r="B69" s="98" t="s">
        <v>85</v>
      </c>
      <c r="C69" s="98"/>
      <c r="D69" s="98"/>
      <c r="E69" s="98"/>
      <c r="F69" s="98"/>
      <c r="G69" s="98"/>
      <c r="H69" s="16">
        <v>1.9400000000000001E-2</v>
      </c>
      <c r="I69" s="15">
        <f>($I$62+$I$29)*H69</f>
        <v>53.468922000000006</v>
      </c>
    </row>
    <row r="70" spans="1:11">
      <c r="A70" s="1" t="s">
        <v>40</v>
      </c>
      <c r="B70" s="123" t="s">
        <v>86</v>
      </c>
      <c r="C70" s="123"/>
      <c r="D70" s="123"/>
      <c r="E70" s="123"/>
      <c r="F70" s="123"/>
      <c r="G70" s="123"/>
      <c r="H70" s="48">
        <f>H46*H69</f>
        <v>7.1392000000000009E-3</v>
      </c>
      <c r="I70" s="49">
        <f>($I$29+$I$35)*H70</f>
        <v>13.470813696000002</v>
      </c>
    </row>
    <row r="71" spans="1:11">
      <c r="A71" s="1" t="s">
        <v>42</v>
      </c>
      <c r="B71" s="98" t="s">
        <v>87</v>
      </c>
      <c r="C71" s="98"/>
      <c r="D71" s="98"/>
      <c r="E71" s="98"/>
      <c r="F71" s="98"/>
      <c r="G71" s="98"/>
      <c r="H71" s="16">
        <v>3.8399999999999997E-2</v>
      </c>
      <c r="I71" s="15">
        <f>($I$29+$I$35)*H71</f>
        <v>72.456192000000001</v>
      </c>
    </row>
    <row r="72" spans="1:11">
      <c r="A72" s="100" t="s">
        <v>88</v>
      </c>
      <c r="B72" s="100"/>
      <c r="C72" s="100"/>
      <c r="D72" s="100"/>
      <c r="E72" s="100"/>
      <c r="F72" s="100"/>
      <c r="G72" s="100"/>
      <c r="H72" s="9">
        <f>TRUNC(SUM(H66:H71),4)</f>
        <v>7.0999999999999994E-2</v>
      </c>
      <c r="I72" s="11">
        <f>TRUNC(SUM(I66:I71),2)</f>
        <v>152.34</v>
      </c>
    </row>
    <row r="73" spans="1:11">
      <c r="A73" s="121"/>
      <c r="B73" s="122"/>
      <c r="C73" s="122"/>
      <c r="D73" s="122"/>
      <c r="E73" s="122"/>
      <c r="F73" s="122"/>
      <c r="G73" s="122"/>
      <c r="H73" s="122"/>
      <c r="I73" s="122"/>
    </row>
    <row r="74" spans="1:11">
      <c r="A74" s="115" t="s">
        <v>89</v>
      </c>
      <c r="B74" s="115"/>
      <c r="C74" s="115"/>
      <c r="D74" s="115"/>
      <c r="E74" s="115"/>
      <c r="F74" s="115"/>
      <c r="G74" s="115"/>
      <c r="H74" s="115"/>
      <c r="I74" s="115"/>
      <c r="J74" s="13" t="s">
        <v>90</v>
      </c>
      <c r="K74" s="29">
        <f>I29+I62+I72</f>
        <v>2908.4700000000003</v>
      </c>
    </row>
    <row r="75" spans="1:11">
      <c r="A75" s="100" t="s">
        <v>91</v>
      </c>
      <c r="B75" s="100"/>
      <c r="C75" s="100"/>
      <c r="D75" s="100"/>
      <c r="E75" s="100"/>
      <c r="F75" s="100"/>
      <c r="G75" s="100"/>
      <c r="H75" s="1" t="s">
        <v>33</v>
      </c>
      <c r="I75" s="1" t="s">
        <v>34</v>
      </c>
    </row>
    <row r="76" spans="1:11">
      <c r="A76" s="1" t="s">
        <v>10</v>
      </c>
      <c r="B76" s="98" t="s">
        <v>92</v>
      </c>
      <c r="C76" s="98"/>
      <c r="D76" s="98"/>
      <c r="E76" s="98"/>
      <c r="F76" s="98"/>
      <c r="G76" s="98"/>
      <c r="H76" s="16">
        <v>8.3299999999999999E-2</v>
      </c>
      <c r="I76" s="15">
        <f>H76*$K$74</f>
        <v>242.27555100000001</v>
      </c>
    </row>
    <row r="77" spans="1:11">
      <c r="A77" s="1" t="s">
        <v>13</v>
      </c>
      <c r="B77" s="98" t="s">
        <v>93</v>
      </c>
      <c r="C77" s="98"/>
      <c r="D77" s="98"/>
      <c r="E77" s="98"/>
      <c r="F77" s="98"/>
      <c r="G77" s="98"/>
      <c r="H77" s="16">
        <v>2.8E-3</v>
      </c>
      <c r="I77" s="15">
        <f t="shared" ref="I77:I81" si="1">H77*$K$74</f>
        <v>8.1437160000000013</v>
      </c>
    </row>
    <row r="78" spans="1:11">
      <c r="A78" s="1" t="s">
        <v>15</v>
      </c>
      <c r="B78" s="98" t="s">
        <v>94</v>
      </c>
      <c r="C78" s="98"/>
      <c r="D78" s="98"/>
      <c r="E78" s="98"/>
      <c r="F78" s="98"/>
      <c r="G78" s="98"/>
      <c r="H78" s="16">
        <v>8.0000000000000004E-4</v>
      </c>
      <c r="I78" s="15">
        <f t="shared" si="1"/>
        <v>2.3267760000000002</v>
      </c>
    </row>
    <row r="79" spans="1:11">
      <c r="A79" s="1" t="s">
        <v>17</v>
      </c>
      <c r="B79" s="98" t="s">
        <v>95</v>
      </c>
      <c r="C79" s="98"/>
      <c r="D79" s="98"/>
      <c r="E79" s="98"/>
      <c r="F79" s="98"/>
      <c r="G79" s="98"/>
      <c r="H79" s="16">
        <v>2.7000000000000001E-3</v>
      </c>
      <c r="I79" s="15">
        <f t="shared" si="1"/>
        <v>7.852869000000001</v>
      </c>
    </row>
    <row r="80" spans="1:11">
      <c r="A80" s="1" t="s">
        <v>40</v>
      </c>
      <c r="B80" s="98" t="s">
        <v>96</v>
      </c>
      <c r="C80" s="98"/>
      <c r="D80" s="98"/>
      <c r="E80" s="98"/>
      <c r="F80" s="98"/>
      <c r="G80" s="98"/>
      <c r="H80" s="16">
        <v>6.9999999999999999E-4</v>
      </c>
      <c r="I80" s="15">
        <f t="shared" si="1"/>
        <v>2.0359290000000003</v>
      </c>
      <c r="K80" s="37"/>
    </row>
    <row r="81" spans="1:11">
      <c r="A81" s="1" t="s">
        <v>42</v>
      </c>
      <c r="B81" s="98" t="s">
        <v>97</v>
      </c>
      <c r="C81" s="98"/>
      <c r="D81" s="98"/>
      <c r="E81" s="98"/>
      <c r="F81" s="98"/>
      <c r="G81" s="98"/>
      <c r="H81" s="16">
        <v>1.66E-2</v>
      </c>
      <c r="I81" s="15">
        <f t="shared" si="1"/>
        <v>48.280602000000002</v>
      </c>
      <c r="K81" s="38"/>
    </row>
    <row r="82" spans="1:11">
      <c r="A82" s="100" t="s">
        <v>98</v>
      </c>
      <c r="B82" s="100"/>
      <c r="C82" s="100"/>
      <c r="D82" s="100"/>
      <c r="E82" s="100"/>
      <c r="F82" s="100"/>
      <c r="G82" s="100"/>
      <c r="H82" s="9">
        <f>TRUNC(SUM(H76:H81),4)</f>
        <v>0.1069</v>
      </c>
      <c r="I82" s="11">
        <f>TRUNC(SUM(I76:I81),2)</f>
        <v>310.91000000000003</v>
      </c>
      <c r="K82" s="38"/>
    </row>
    <row r="83" spans="1:11">
      <c r="A83" s="117"/>
      <c r="B83" s="118"/>
      <c r="C83" s="118"/>
      <c r="D83" s="118"/>
      <c r="E83" s="118"/>
      <c r="F83" s="118"/>
      <c r="G83" s="118"/>
      <c r="H83" s="118"/>
      <c r="I83" s="118"/>
    </row>
    <row r="84" spans="1:11">
      <c r="A84" s="100" t="s">
        <v>99</v>
      </c>
      <c r="B84" s="100"/>
      <c r="C84" s="100"/>
      <c r="D84" s="100"/>
      <c r="E84" s="100"/>
      <c r="F84" s="100"/>
      <c r="G84" s="100"/>
      <c r="H84" s="1" t="s">
        <v>33</v>
      </c>
      <c r="I84" s="1" t="s">
        <v>34</v>
      </c>
    </row>
    <row r="85" spans="1:11">
      <c r="A85" s="1" t="s">
        <v>10</v>
      </c>
      <c r="B85" s="98" t="s">
        <v>100</v>
      </c>
      <c r="C85" s="98"/>
      <c r="D85" s="98"/>
      <c r="E85" s="98"/>
      <c r="F85" s="98"/>
      <c r="G85" s="98"/>
      <c r="H85" s="16">
        <v>0</v>
      </c>
      <c r="I85" s="15">
        <v>0</v>
      </c>
    </row>
    <row r="86" spans="1:11">
      <c r="A86" s="100" t="s">
        <v>101</v>
      </c>
      <c r="B86" s="100"/>
      <c r="C86" s="100"/>
      <c r="D86" s="100"/>
      <c r="E86" s="100"/>
      <c r="F86" s="100"/>
      <c r="G86" s="100"/>
      <c r="H86" s="9">
        <f>TRUNC(SUM(H85),4)</f>
        <v>0</v>
      </c>
      <c r="I86" s="11">
        <f>TRUNC(SUM(I85),2)</f>
        <v>0</v>
      </c>
    </row>
    <row r="87" spans="1:11">
      <c r="A87" s="119"/>
      <c r="B87" s="120"/>
      <c r="C87" s="120"/>
      <c r="D87" s="120"/>
      <c r="E87" s="120"/>
      <c r="F87" s="120"/>
      <c r="G87" s="120"/>
      <c r="H87" s="120"/>
      <c r="I87" s="120"/>
    </row>
    <row r="88" spans="1:11">
      <c r="A88" s="107" t="s">
        <v>102</v>
      </c>
      <c r="B88" s="107"/>
      <c r="C88" s="107"/>
      <c r="D88" s="107"/>
      <c r="E88" s="107"/>
      <c r="F88" s="107"/>
      <c r="G88" s="107"/>
      <c r="H88" s="107"/>
      <c r="I88" s="107"/>
    </row>
    <row r="89" spans="1:11">
      <c r="A89" s="100" t="s">
        <v>103</v>
      </c>
      <c r="B89" s="100"/>
      <c r="C89" s="100"/>
      <c r="D89" s="100"/>
      <c r="E89" s="100"/>
      <c r="F89" s="100"/>
      <c r="G89" s="100"/>
      <c r="H89" s="100"/>
      <c r="I89" s="1" t="s">
        <v>34</v>
      </c>
    </row>
    <row r="90" spans="1:11">
      <c r="A90" s="1" t="s">
        <v>104</v>
      </c>
      <c r="B90" s="99" t="s">
        <v>105</v>
      </c>
      <c r="C90" s="99"/>
      <c r="D90" s="99"/>
      <c r="E90" s="99"/>
      <c r="F90" s="99"/>
      <c r="G90" s="99"/>
      <c r="H90" s="99"/>
      <c r="I90" s="15">
        <f>I82</f>
        <v>310.91000000000003</v>
      </c>
    </row>
    <row r="91" spans="1:11">
      <c r="A91" s="1" t="s">
        <v>106</v>
      </c>
      <c r="B91" s="99" t="s">
        <v>107</v>
      </c>
      <c r="C91" s="99"/>
      <c r="D91" s="99"/>
      <c r="E91" s="99"/>
      <c r="F91" s="99"/>
      <c r="G91" s="99"/>
      <c r="H91" s="99"/>
      <c r="I91" s="15">
        <f>I86</f>
        <v>0</v>
      </c>
    </row>
    <row r="92" spans="1:11">
      <c r="A92" s="100" t="s">
        <v>108</v>
      </c>
      <c r="B92" s="100"/>
      <c r="C92" s="100"/>
      <c r="D92" s="100"/>
      <c r="E92" s="100"/>
      <c r="F92" s="100"/>
      <c r="G92" s="100"/>
      <c r="H92" s="100"/>
      <c r="I92" s="11">
        <f>TRUNC(SUM(I90:I91),2)</f>
        <v>310.91000000000003</v>
      </c>
    </row>
    <row r="93" spans="1:11">
      <c r="A93" s="113"/>
      <c r="B93" s="114"/>
      <c r="C93" s="114"/>
      <c r="D93" s="114"/>
      <c r="E93" s="114"/>
      <c r="F93" s="114"/>
      <c r="G93" s="114"/>
      <c r="H93" s="114"/>
      <c r="I93" s="114"/>
    </row>
    <row r="94" spans="1:11">
      <c r="A94" s="115" t="s">
        <v>109</v>
      </c>
      <c r="B94" s="115"/>
      <c r="C94" s="115"/>
      <c r="D94" s="115"/>
      <c r="E94" s="115"/>
      <c r="F94" s="115"/>
      <c r="G94" s="115"/>
      <c r="H94" s="115"/>
      <c r="I94" s="115"/>
    </row>
    <row r="95" spans="1:11">
      <c r="A95" s="1">
        <v>5</v>
      </c>
      <c r="B95" s="100" t="s">
        <v>110</v>
      </c>
      <c r="C95" s="100"/>
      <c r="D95" s="100"/>
      <c r="E95" s="100"/>
      <c r="F95" s="100"/>
      <c r="G95" s="100"/>
      <c r="H95" s="1"/>
      <c r="I95" s="1" t="s">
        <v>34</v>
      </c>
    </row>
    <row r="96" spans="1:11">
      <c r="A96" s="1" t="s">
        <v>10</v>
      </c>
      <c r="B96" s="116" t="s">
        <v>111</v>
      </c>
      <c r="C96" s="112"/>
      <c r="D96" s="112"/>
      <c r="E96" s="112"/>
      <c r="F96" s="112"/>
      <c r="G96" s="112"/>
      <c r="H96" s="2" t="s">
        <v>12</v>
      </c>
      <c r="I96" s="15">
        <f>INSUMOS!M28</f>
        <v>57.472222222222221</v>
      </c>
    </row>
    <row r="97" spans="1:9">
      <c r="A97" s="1" t="s">
        <v>13</v>
      </c>
      <c r="B97" s="112" t="s">
        <v>112</v>
      </c>
      <c r="C97" s="112"/>
      <c r="D97" s="112"/>
      <c r="E97" s="112"/>
      <c r="F97" s="112"/>
      <c r="G97" s="112"/>
      <c r="H97" s="2" t="s">
        <v>12</v>
      </c>
      <c r="I97" s="15">
        <f>INSUMOS!J46</f>
        <v>66.358888888888885</v>
      </c>
    </row>
    <row r="98" spans="1:9">
      <c r="A98" s="10" t="s">
        <v>15</v>
      </c>
      <c r="B98" s="112" t="s">
        <v>113</v>
      </c>
      <c r="C98" s="112"/>
      <c r="D98" s="112"/>
      <c r="E98" s="112"/>
      <c r="F98" s="112"/>
      <c r="G98" s="112"/>
      <c r="H98" s="2" t="s">
        <v>12</v>
      </c>
      <c r="I98" s="15" t="s">
        <v>12</v>
      </c>
    </row>
    <row r="99" spans="1:9">
      <c r="A99" s="10" t="s">
        <v>17</v>
      </c>
      <c r="B99" s="112" t="s">
        <v>43</v>
      </c>
      <c r="C99" s="112"/>
      <c r="D99" s="112"/>
      <c r="E99" s="112"/>
      <c r="F99" s="112"/>
      <c r="G99" s="112"/>
      <c r="H99" s="2" t="s">
        <v>12</v>
      </c>
      <c r="I99" s="15" t="s">
        <v>12</v>
      </c>
    </row>
    <row r="100" spans="1:9">
      <c r="A100" s="100" t="s">
        <v>114</v>
      </c>
      <c r="B100" s="100"/>
      <c r="C100" s="100"/>
      <c r="D100" s="100"/>
      <c r="E100" s="100"/>
      <c r="F100" s="100"/>
      <c r="G100" s="100"/>
      <c r="H100" s="9" t="s">
        <v>12</v>
      </c>
      <c r="I100" s="11">
        <f>TRUNC(SUM(I96:I99),2)</f>
        <v>123.83</v>
      </c>
    </row>
    <row r="101" spans="1:9">
      <c r="A101" s="113"/>
      <c r="B101" s="114"/>
      <c r="C101" s="114"/>
      <c r="D101" s="114"/>
      <c r="E101" s="114"/>
      <c r="F101" s="114"/>
      <c r="G101" s="114"/>
      <c r="H101" s="114"/>
      <c r="I101" s="114"/>
    </row>
    <row r="102" spans="1:9">
      <c r="A102" s="115" t="s">
        <v>115</v>
      </c>
      <c r="B102" s="115"/>
      <c r="C102" s="115"/>
      <c r="D102" s="115"/>
      <c r="E102" s="115"/>
      <c r="F102" s="115"/>
      <c r="G102" s="115"/>
      <c r="H102" s="115"/>
      <c r="I102" s="115"/>
    </row>
    <row r="103" spans="1:9">
      <c r="A103" s="1">
        <v>6</v>
      </c>
      <c r="B103" s="100" t="s">
        <v>116</v>
      </c>
      <c r="C103" s="100"/>
      <c r="D103" s="100"/>
      <c r="E103" s="100"/>
      <c r="F103" s="100"/>
      <c r="G103" s="100"/>
      <c r="H103" s="1" t="s">
        <v>33</v>
      </c>
      <c r="I103" s="1" t="s">
        <v>34</v>
      </c>
    </row>
    <row r="104" spans="1:9">
      <c r="A104" s="1" t="s">
        <v>10</v>
      </c>
      <c r="B104" s="98" t="s">
        <v>117</v>
      </c>
      <c r="C104" s="98"/>
      <c r="D104" s="98"/>
      <c r="E104" s="98"/>
      <c r="F104" s="98"/>
      <c r="G104" s="98"/>
      <c r="H104" s="32">
        <v>0.06</v>
      </c>
      <c r="I104" s="15">
        <f>TRUNC(H104*I128,2)</f>
        <v>200.59</v>
      </c>
    </row>
    <row r="105" spans="1:9">
      <c r="A105" s="1" t="s">
        <v>13</v>
      </c>
      <c r="B105" s="98" t="s">
        <v>118</v>
      </c>
      <c r="C105" s="98"/>
      <c r="D105" s="98"/>
      <c r="E105" s="98"/>
      <c r="F105" s="98"/>
      <c r="G105" s="98"/>
      <c r="H105" s="33">
        <v>6.7900000000000002E-2</v>
      </c>
      <c r="I105" s="15">
        <f>TRUNC(H105*(I104+I128),2)</f>
        <v>240.62</v>
      </c>
    </row>
    <row r="106" spans="1:9">
      <c r="A106" s="1" t="s">
        <v>15</v>
      </c>
      <c r="B106" s="102" t="s">
        <v>119</v>
      </c>
      <c r="C106" s="102"/>
      <c r="D106" s="102"/>
      <c r="E106" s="102"/>
      <c r="F106" s="102"/>
      <c r="G106" s="102"/>
      <c r="H106" s="30"/>
      <c r="I106" s="25"/>
    </row>
    <row r="107" spans="1:9">
      <c r="A107" s="1" t="s">
        <v>120</v>
      </c>
      <c r="B107" s="98" t="s">
        <v>121</v>
      </c>
      <c r="C107" s="98"/>
      <c r="D107" s="98"/>
      <c r="E107" s="98"/>
      <c r="F107" s="98"/>
      <c r="G107" s="98"/>
      <c r="H107" s="34">
        <v>6.4999999999999997E-3</v>
      </c>
      <c r="I107" s="15">
        <f>H107*I117</f>
        <v>26.92794</v>
      </c>
    </row>
    <row r="108" spans="1:9">
      <c r="A108" s="1" t="s">
        <v>122</v>
      </c>
      <c r="B108" s="98" t="s">
        <v>123</v>
      </c>
      <c r="C108" s="98"/>
      <c r="D108" s="98"/>
      <c r="E108" s="98"/>
      <c r="F108" s="98"/>
      <c r="G108" s="98"/>
      <c r="H108" s="35">
        <v>0.03</v>
      </c>
      <c r="I108" s="15">
        <f>H108*I117</f>
        <v>124.28280000000001</v>
      </c>
    </row>
    <row r="109" spans="1:9">
      <c r="A109" s="1" t="s">
        <v>124</v>
      </c>
      <c r="B109" s="98" t="s">
        <v>125</v>
      </c>
      <c r="C109" s="98"/>
      <c r="D109" s="98"/>
      <c r="E109" s="98"/>
      <c r="F109" s="98"/>
      <c r="G109" s="98"/>
      <c r="H109" s="36">
        <v>0.05</v>
      </c>
      <c r="I109" s="15">
        <f>H109*I117</f>
        <v>207.13800000000003</v>
      </c>
    </row>
    <row r="110" spans="1:9">
      <c r="A110" s="100" t="s">
        <v>126</v>
      </c>
      <c r="B110" s="100"/>
      <c r="C110" s="100"/>
      <c r="D110" s="100"/>
      <c r="E110" s="100"/>
      <c r="F110" s="100"/>
      <c r="G110" s="100"/>
      <c r="H110" s="34"/>
      <c r="I110" s="11">
        <f>TRUNC(SUM(I104:I109),2)</f>
        <v>799.55</v>
      </c>
    </row>
    <row r="111" spans="1:9">
      <c r="A111" s="6"/>
      <c r="B111" s="108"/>
      <c r="C111" s="108"/>
      <c r="D111" s="108"/>
      <c r="E111" s="108"/>
      <c r="F111" s="108"/>
      <c r="G111" s="108"/>
      <c r="H111" s="108"/>
      <c r="I111" s="108"/>
    </row>
    <row r="112" spans="1:9">
      <c r="A112" s="17" t="s">
        <v>127</v>
      </c>
      <c r="B112" s="109" t="s">
        <v>128</v>
      </c>
      <c r="C112" s="109"/>
      <c r="D112" s="109"/>
      <c r="E112" s="109"/>
      <c r="F112" s="109"/>
      <c r="G112" s="109"/>
      <c r="H112" s="18">
        <f>TRUNC(H107+H108+H109,4)</f>
        <v>8.6499999999999994E-2</v>
      </c>
      <c r="I112" s="26"/>
    </row>
    <row r="113" spans="1:11">
      <c r="A113" s="19"/>
      <c r="B113" s="110">
        <v>100</v>
      </c>
      <c r="C113" s="110"/>
      <c r="D113" s="110"/>
      <c r="E113" s="110"/>
      <c r="F113" s="110"/>
      <c r="G113" s="110"/>
      <c r="H113" s="21"/>
      <c r="I113" s="27"/>
    </row>
    <row r="114" spans="1:11">
      <c r="A114" s="22"/>
      <c r="B114" s="20"/>
      <c r="C114" s="20"/>
      <c r="D114" s="20"/>
      <c r="E114" s="20"/>
      <c r="F114" s="20"/>
      <c r="G114" s="20"/>
      <c r="H114" s="21"/>
      <c r="I114" s="27"/>
    </row>
    <row r="115" spans="1:11">
      <c r="A115" s="19" t="s">
        <v>129</v>
      </c>
      <c r="B115" s="110" t="s">
        <v>130</v>
      </c>
      <c r="C115" s="110"/>
      <c r="D115" s="110"/>
      <c r="E115" s="110"/>
      <c r="F115" s="110"/>
      <c r="G115" s="110"/>
      <c r="H115" s="21"/>
      <c r="I115" s="27">
        <f>TRUNC(I128+I104+I105,2)</f>
        <v>3784.42</v>
      </c>
    </row>
    <row r="116" spans="1:11">
      <c r="A116" s="19"/>
      <c r="B116" s="20"/>
      <c r="C116" s="20"/>
      <c r="D116" s="20"/>
      <c r="E116" s="20"/>
      <c r="F116" s="20"/>
      <c r="G116" s="20"/>
      <c r="H116" s="21"/>
      <c r="I116" s="27"/>
    </row>
    <row r="117" spans="1:11">
      <c r="A117" s="19" t="s">
        <v>131</v>
      </c>
      <c r="B117" s="110" t="s">
        <v>132</v>
      </c>
      <c r="C117" s="110"/>
      <c r="D117" s="110"/>
      <c r="E117" s="110"/>
      <c r="F117" s="110"/>
      <c r="G117" s="110"/>
      <c r="H117" s="21"/>
      <c r="I117" s="27">
        <f>TRUNC(I115/(1-H112),2)</f>
        <v>4142.76</v>
      </c>
    </row>
    <row r="118" spans="1:11">
      <c r="A118" s="19"/>
      <c r="B118" s="20"/>
      <c r="C118" s="20"/>
      <c r="D118" s="20"/>
      <c r="E118" s="20"/>
      <c r="F118" s="20"/>
      <c r="G118" s="20"/>
      <c r="H118" s="21"/>
      <c r="I118" s="27"/>
    </row>
    <row r="119" spans="1:11">
      <c r="A119" s="23"/>
      <c r="B119" s="111" t="s">
        <v>133</v>
      </c>
      <c r="C119" s="111"/>
      <c r="D119" s="111"/>
      <c r="E119" s="111"/>
      <c r="F119" s="111"/>
      <c r="G119" s="111"/>
      <c r="H119" s="24"/>
      <c r="I119" s="28">
        <f>TRUNC(I117-I115,2)</f>
        <v>358.34</v>
      </c>
      <c r="K119" s="37"/>
    </row>
    <row r="120" spans="1:11">
      <c r="A120" s="6"/>
      <c r="B120" s="6"/>
      <c r="C120" s="6"/>
      <c r="D120" s="6"/>
      <c r="E120" s="6"/>
      <c r="F120" s="6"/>
      <c r="G120" s="6"/>
      <c r="H120" s="6"/>
      <c r="I120" s="12"/>
    </row>
    <row r="121" spans="1:11">
      <c r="A121" s="107" t="s">
        <v>134</v>
      </c>
      <c r="B121" s="107"/>
      <c r="C121" s="107"/>
      <c r="D121" s="107"/>
      <c r="E121" s="107"/>
      <c r="F121" s="107"/>
      <c r="G121" s="107"/>
      <c r="H121" s="107"/>
      <c r="I121" s="107"/>
      <c r="K121" s="29"/>
    </row>
    <row r="122" spans="1:11">
      <c r="A122" s="100" t="s">
        <v>135</v>
      </c>
      <c r="B122" s="100"/>
      <c r="C122" s="100"/>
      <c r="D122" s="100"/>
      <c r="E122" s="100"/>
      <c r="F122" s="100"/>
      <c r="G122" s="100"/>
      <c r="H122" s="100"/>
      <c r="I122" s="1" t="s">
        <v>34</v>
      </c>
    </row>
    <row r="123" spans="1:11">
      <c r="A123" s="2" t="s">
        <v>10</v>
      </c>
      <c r="B123" s="98" t="str">
        <f>A21</f>
        <v>MÓDULO 1 - COMPOSIÇÃO DA REMUNERAÇÃO</v>
      </c>
      <c r="C123" s="98"/>
      <c r="D123" s="98"/>
      <c r="E123" s="98"/>
      <c r="F123" s="98"/>
      <c r="G123" s="98"/>
      <c r="H123" s="98"/>
      <c r="I123" s="15">
        <f>I29</f>
        <v>1694.4</v>
      </c>
    </row>
    <row r="124" spans="1:11">
      <c r="A124" s="2" t="s">
        <v>13</v>
      </c>
      <c r="B124" s="98" t="str">
        <f>A31</f>
        <v>MÓDULO 2 – ENCARGOS E BENEFÍCIOS ANUAIS, MENSAIS E DIÁRIOS</v>
      </c>
      <c r="C124" s="98"/>
      <c r="D124" s="98"/>
      <c r="E124" s="98"/>
      <c r="F124" s="98"/>
      <c r="G124" s="98"/>
      <c r="H124" s="98"/>
      <c r="I124" s="15">
        <f>I62</f>
        <v>1061.73</v>
      </c>
    </row>
    <row r="125" spans="1:11">
      <c r="A125" s="2" t="s">
        <v>15</v>
      </c>
      <c r="B125" s="98" t="str">
        <f>A64</f>
        <v>MÓDULO 3 – PROVISÃO PARA RESCISÃO</v>
      </c>
      <c r="C125" s="98"/>
      <c r="D125" s="98"/>
      <c r="E125" s="98"/>
      <c r="F125" s="98"/>
      <c r="G125" s="98"/>
      <c r="H125" s="98"/>
      <c r="I125" s="15">
        <f>I72</f>
        <v>152.34</v>
      </c>
      <c r="K125" s="29"/>
    </row>
    <row r="126" spans="1:11">
      <c r="A126" s="2" t="s">
        <v>17</v>
      </c>
      <c r="B126" s="98" t="str">
        <f>A74</f>
        <v>MÓDULO 4 – CUSTO DE REPOSIÇÃO DO PROFISSIONAL AUSENTE</v>
      </c>
      <c r="C126" s="98"/>
      <c r="D126" s="98"/>
      <c r="E126" s="98"/>
      <c r="F126" s="98"/>
      <c r="G126" s="98"/>
      <c r="H126" s="98"/>
      <c r="I126" s="15">
        <f>I92</f>
        <v>310.91000000000003</v>
      </c>
      <c r="K126" s="29"/>
    </row>
    <row r="127" spans="1:11">
      <c r="A127" s="2" t="s">
        <v>40</v>
      </c>
      <c r="B127" s="98" t="str">
        <f>A94</f>
        <v>MÓDULO 5 – INSUMOS DIVERSOS</v>
      </c>
      <c r="C127" s="98"/>
      <c r="D127" s="98"/>
      <c r="E127" s="98"/>
      <c r="F127" s="98"/>
      <c r="G127" s="98"/>
      <c r="H127" s="98"/>
      <c r="I127" s="15">
        <f>I100</f>
        <v>123.83</v>
      </c>
    </row>
    <row r="128" spans="1:11">
      <c r="A128" s="1"/>
      <c r="B128" s="100" t="s">
        <v>136</v>
      </c>
      <c r="C128" s="100"/>
      <c r="D128" s="100"/>
      <c r="E128" s="100"/>
      <c r="F128" s="100"/>
      <c r="G128" s="100"/>
      <c r="H128" s="100"/>
      <c r="I128" s="11">
        <f>TRUNC(SUM(I123:I127),2)</f>
        <v>3343.21</v>
      </c>
      <c r="K128" s="37"/>
    </row>
    <row r="129" spans="1:9">
      <c r="A129" s="2" t="s">
        <v>42</v>
      </c>
      <c r="B129" s="98" t="str">
        <f>A102</f>
        <v>MÓDULO 6 – CUSTOS INDIRETOS, TRIBUTOS E LUCRO</v>
      </c>
      <c r="C129" s="98"/>
      <c r="D129" s="98"/>
      <c r="E129" s="98"/>
      <c r="F129" s="98"/>
      <c r="G129" s="98"/>
      <c r="H129" s="98"/>
      <c r="I129" s="15">
        <f>I110</f>
        <v>799.55</v>
      </c>
    </row>
    <row r="130" spans="1:9">
      <c r="A130" s="100" t="s">
        <v>137</v>
      </c>
      <c r="B130" s="100"/>
      <c r="C130" s="100"/>
      <c r="D130" s="100"/>
      <c r="E130" s="100"/>
      <c r="F130" s="100"/>
      <c r="G130" s="100"/>
      <c r="H130" s="100"/>
      <c r="I130" s="11">
        <f>TRUNC(SUM(I128:I129),2)</f>
        <v>4142.76</v>
      </c>
    </row>
    <row r="131" spans="1:9">
      <c r="A131" s="100" t="s">
        <v>138</v>
      </c>
      <c r="B131" s="100"/>
      <c r="C131" s="100"/>
      <c r="D131" s="104">
        <v>1</v>
      </c>
      <c r="E131" s="105"/>
      <c r="F131" s="105"/>
      <c r="G131" s="105"/>
      <c r="H131" s="105"/>
      <c r="I131" s="106"/>
    </row>
    <row r="132" spans="1:9" hidden="1">
      <c r="A132" s="2"/>
      <c r="B132" s="99" t="s">
        <v>139</v>
      </c>
      <c r="C132" s="99"/>
      <c r="D132" s="99"/>
      <c r="E132" s="99"/>
      <c r="F132" s="99"/>
      <c r="G132" s="99"/>
      <c r="H132" s="1"/>
      <c r="I132" s="1"/>
    </row>
    <row r="133" spans="1:9" ht="40.5" hidden="1" customHeight="1">
      <c r="A133" s="103" t="s">
        <v>140</v>
      </c>
      <c r="B133" s="103"/>
      <c r="C133" s="103" t="s">
        <v>141</v>
      </c>
      <c r="D133" s="103"/>
      <c r="E133" s="103" t="s">
        <v>142</v>
      </c>
      <c r="F133" s="103"/>
      <c r="G133" s="39" t="s">
        <v>143</v>
      </c>
      <c r="H133" s="39" t="s">
        <v>144</v>
      </c>
      <c r="I133" s="1" t="s">
        <v>34</v>
      </c>
    </row>
    <row r="134" spans="1:9" hidden="1">
      <c r="A134" s="99" t="s">
        <v>145</v>
      </c>
      <c r="B134" s="99"/>
      <c r="C134" s="98" t="s">
        <v>146</v>
      </c>
      <c r="D134" s="98"/>
      <c r="E134" s="99"/>
      <c r="F134" s="99"/>
      <c r="G134" s="3" t="s">
        <v>146</v>
      </c>
      <c r="H134" s="3"/>
      <c r="I134" s="15">
        <v>0</v>
      </c>
    </row>
    <row r="135" spans="1:9" hidden="1">
      <c r="A135" s="99" t="s">
        <v>147</v>
      </c>
      <c r="B135" s="99"/>
      <c r="C135" s="98" t="s">
        <v>146</v>
      </c>
      <c r="D135" s="98"/>
      <c r="E135" s="99"/>
      <c r="F135" s="99"/>
      <c r="G135" s="3" t="s">
        <v>146</v>
      </c>
      <c r="H135" s="3"/>
      <c r="I135" s="15">
        <v>0</v>
      </c>
    </row>
    <row r="136" spans="1:9" hidden="1">
      <c r="A136" s="99" t="s">
        <v>148</v>
      </c>
      <c r="B136" s="99"/>
      <c r="C136" s="98" t="s">
        <v>146</v>
      </c>
      <c r="D136" s="98"/>
      <c r="E136" s="99"/>
      <c r="F136" s="99"/>
      <c r="G136" s="3" t="s">
        <v>146</v>
      </c>
      <c r="H136" s="3"/>
      <c r="I136" s="15">
        <v>0</v>
      </c>
    </row>
    <row r="137" spans="1:9" hidden="1">
      <c r="A137" s="99" t="s">
        <v>149</v>
      </c>
      <c r="B137" s="99"/>
      <c r="C137" s="98" t="s">
        <v>146</v>
      </c>
      <c r="D137" s="98"/>
      <c r="E137" s="99"/>
      <c r="F137" s="99"/>
      <c r="G137" s="3" t="s">
        <v>146</v>
      </c>
      <c r="H137" s="3"/>
      <c r="I137" s="15">
        <v>0</v>
      </c>
    </row>
    <row r="138" spans="1:9" hidden="1">
      <c r="A138" s="100"/>
      <c r="B138" s="100"/>
      <c r="C138" s="99"/>
      <c r="D138" s="99"/>
      <c r="E138" s="99"/>
      <c r="F138" s="99"/>
      <c r="G138" s="4"/>
      <c r="H138" s="4"/>
      <c r="I138" s="15"/>
    </row>
    <row r="139" spans="1:9" hidden="1">
      <c r="A139" s="100"/>
      <c r="B139" s="100"/>
      <c r="C139" s="99"/>
      <c r="D139" s="99"/>
      <c r="E139" s="99"/>
      <c r="F139" s="99"/>
      <c r="G139" s="3"/>
      <c r="H139" s="3"/>
      <c r="I139" s="15"/>
    </row>
    <row r="140" spans="1:9" hidden="1">
      <c r="A140" s="100" t="s">
        <v>150</v>
      </c>
      <c r="B140" s="100"/>
      <c r="C140" s="100"/>
      <c r="D140" s="100"/>
      <c r="E140" s="100"/>
      <c r="F140" s="100"/>
      <c r="G140" s="100"/>
      <c r="H140" s="100"/>
      <c r="I140" s="11">
        <f>SUM(I138:I139)</f>
        <v>0</v>
      </c>
    </row>
    <row r="141" spans="1:9" hidden="1">
      <c r="A141" s="3"/>
      <c r="B141" s="3"/>
      <c r="C141" s="3"/>
      <c r="D141" s="3"/>
      <c r="E141" s="3"/>
      <c r="F141" s="3"/>
      <c r="G141" s="3"/>
      <c r="H141" s="3"/>
      <c r="I141" s="3"/>
    </row>
    <row r="142" spans="1:9" hidden="1">
      <c r="A142" s="2" t="s">
        <v>151</v>
      </c>
      <c r="B142" s="99" t="s">
        <v>152</v>
      </c>
      <c r="C142" s="99"/>
      <c r="D142" s="99"/>
      <c r="E142" s="99"/>
      <c r="F142" s="99"/>
      <c r="G142" s="99"/>
      <c r="H142" s="1"/>
      <c r="I142" s="1"/>
    </row>
    <row r="143" spans="1:9" hidden="1">
      <c r="A143" s="100" t="s">
        <v>153</v>
      </c>
      <c r="B143" s="100"/>
      <c r="C143" s="100"/>
      <c r="D143" s="100"/>
      <c r="E143" s="100"/>
      <c r="F143" s="100"/>
      <c r="G143" s="100"/>
      <c r="H143" s="100"/>
      <c r="I143" s="100"/>
    </row>
    <row r="144" spans="1:9" hidden="1">
      <c r="A144" s="2"/>
      <c r="B144" s="102" t="s">
        <v>154</v>
      </c>
      <c r="C144" s="102"/>
      <c r="D144" s="102"/>
      <c r="E144" s="102"/>
      <c r="F144" s="102"/>
      <c r="G144" s="102"/>
      <c r="H144" s="102"/>
      <c r="I144" s="1" t="s">
        <v>34</v>
      </c>
    </row>
    <row r="145" spans="1:9" hidden="1">
      <c r="A145" s="2" t="s">
        <v>10</v>
      </c>
      <c r="B145" s="98" t="s">
        <v>155</v>
      </c>
      <c r="C145" s="98"/>
      <c r="D145" s="98"/>
      <c r="E145" s="98"/>
      <c r="F145" s="98"/>
      <c r="G145" s="98"/>
      <c r="H145" s="98"/>
      <c r="I145" s="15">
        <f>I107</f>
        <v>26.92794</v>
      </c>
    </row>
    <row r="146" spans="1:9" hidden="1">
      <c r="A146" s="2" t="s">
        <v>13</v>
      </c>
      <c r="B146" s="98" t="s">
        <v>156</v>
      </c>
      <c r="C146" s="98"/>
      <c r="D146" s="98"/>
      <c r="E146" s="98"/>
      <c r="F146" s="98"/>
      <c r="G146" s="98"/>
      <c r="H146" s="98"/>
      <c r="I146" s="15" t="e">
        <f>#REF!</f>
        <v>#REF!</v>
      </c>
    </row>
    <row r="147" spans="1:9" hidden="1">
      <c r="A147" s="2" t="s">
        <v>15</v>
      </c>
      <c r="B147" s="98" t="s">
        <v>157</v>
      </c>
      <c r="C147" s="98"/>
      <c r="D147" s="98"/>
      <c r="E147" s="98"/>
      <c r="F147" s="98"/>
      <c r="G147" s="98"/>
      <c r="H147" s="98"/>
      <c r="I147" s="15">
        <f>I110</f>
        <v>799.55</v>
      </c>
    </row>
    <row r="148" spans="1:9" hidden="1">
      <c r="A148" s="99" t="s">
        <v>158</v>
      </c>
      <c r="B148" s="99"/>
      <c r="C148" s="99"/>
      <c r="D148" s="99"/>
      <c r="E148" s="99"/>
      <c r="F148" s="99"/>
      <c r="G148" s="99"/>
      <c r="H148" s="99"/>
      <c r="I148" s="11" t="e">
        <f>SUM(I145:I147)</f>
        <v>#REF!</v>
      </c>
    </row>
    <row r="149" spans="1:9" hidden="1">
      <c r="A149" s="2" t="s">
        <v>159</v>
      </c>
      <c r="B149" s="3" t="s">
        <v>160</v>
      </c>
      <c r="C149" s="3"/>
      <c r="D149" s="3"/>
      <c r="E149" s="3"/>
      <c r="F149" s="3"/>
      <c r="G149" s="3"/>
      <c r="H149" s="3"/>
      <c r="I149" s="3"/>
    </row>
    <row r="150" spans="1:9" hidden="1">
      <c r="A150" s="3"/>
      <c r="B150" s="3"/>
      <c r="C150" s="3"/>
      <c r="D150" s="3"/>
      <c r="E150" s="3"/>
      <c r="F150" s="3"/>
      <c r="G150" s="3"/>
      <c r="H150" s="3"/>
      <c r="I150" s="3"/>
    </row>
    <row r="151" spans="1:9" hidden="1">
      <c r="A151" s="3"/>
      <c r="B151" s="3"/>
      <c r="C151" s="3"/>
      <c r="D151" s="3"/>
      <c r="E151" s="3"/>
      <c r="F151" s="3"/>
      <c r="G151" s="3"/>
      <c r="H151" s="3"/>
      <c r="I151" s="3"/>
    </row>
    <row r="152" spans="1:9">
      <c r="A152" s="100" t="s">
        <v>161</v>
      </c>
      <c r="B152" s="100"/>
      <c r="C152" s="100"/>
      <c r="D152" s="101">
        <f>D131*I130</f>
        <v>4142.76</v>
      </c>
      <c r="E152" s="101"/>
      <c r="F152" s="101"/>
      <c r="G152" s="101"/>
      <c r="H152" s="101"/>
      <c r="I152" s="101"/>
    </row>
    <row r="153" spans="1:9">
      <c r="A153" s="7"/>
      <c r="B153" s="7"/>
      <c r="C153" s="7"/>
      <c r="D153" s="51"/>
      <c r="E153" s="51"/>
      <c r="F153" s="51"/>
      <c r="G153" s="51"/>
      <c r="H153" s="51"/>
      <c r="I153" s="51"/>
    </row>
    <row r="155" spans="1:9" ht="66" customHeight="1">
      <c r="A155" s="94" t="s">
        <v>162</v>
      </c>
      <c r="B155" s="95"/>
      <c r="C155" s="95"/>
      <c r="D155" s="95"/>
      <c r="E155" s="95"/>
      <c r="F155" s="95"/>
      <c r="G155" s="95"/>
      <c r="H155" s="95"/>
      <c r="I155" s="95"/>
    </row>
    <row r="156" spans="1:9" ht="12.75" customHeight="1">
      <c r="A156" s="42"/>
      <c r="B156" s="43"/>
      <c r="C156" s="43"/>
      <c r="D156" s="43"/>
      <c r="E156" s="43"/>
      <c r="F156" s="43"/>
      <c r="G156" s="43"/>
      <c r="H156" s="43"/>
      <c r="I156" s="43"/>
    </row>
    <row r="157" spans="1:9" ht="26.25" customHeight="1">
      <c r="A157" s="96" t="s">
        <v>163</v>
      </c>
      <c r="B157" s="97"/>
      <c r="C157" s="97"/>
      <c r="D157" s="97"/>
      <c r="E157" s="97"/>
      <c r="F157" s="97"/>
      <c r="G157" s="97"/>
      <c r="H157" s="97"/>
      <c r="I157" s="97"/>
    </row>
    <row r="159" spans="1:9" ht="28.5" customHeight="1">
      <c r="A159" s="93" t="s">
        <v>164</v>
      </c>
      <c r="B159" s="93"/>
      <c r="C159" s="93"/>
      <c r="D159" s="93"/>
      <c r="E159" s="93"/>
      <c r="F159" s="93"/>
      <c r="G159" s="93"/>
      <c r="H159" s="93"/>
    </row>
    <row r="162" spans="1:5">
      <c r="A162" s="13" t="s">
        <v>165</v>
      </c>
      <c r="B162" s="13">
        <f>I130/I123</f>
        <v>2.4449716713881018</v>
      </c>
    </row>
    <row r="163" spans="1:5">
      <c r="A163" s="29"/>
      <c r="B163" s="13"/>
      <c r="E163" s="38"/>
    </row>
    <row r="164" spans="1:5">
      <c r="A164" s="13" t="s">
        <v>166</v>
      </c>
      <c r="B164" s="13"/>
      <c r="C164" s="29">
        <f>1*'Auxiliar de saúde Nova Cruz'!I130</f>
        <v>4142.76</v>
      </c>
    </row>
    <row r="165" spans="1:5">
      <c r="A165" s="13" t="s">
        <v>167</v>
      </c>
      <c r="B165" s="13"/>
      <c r="C165" s="29">
        <f>H8*2*C164</f>
        <v>99426.240000000005</v>
      </c>
      <c r="D165" s="38"/>
    </row>
    <row r="166" spans="1:5">
      <c r="A166" s="38"/>
    </row>
    <row r="167" spans="1:5">
      <c r="A167" s="38"/>
    </row>
  </sheetData>
  <mergeCells count="172">
    <mergeCell ref="A14:I14"/>
    <mergeCell ref="B15:G15"/>
    <mergeCell ref="H15:I15"/>
    <mergeCell ref="B8:G8"/>
    <mergeCell ref="H8:I8"/>
    <mergeCell ref="A10:I10"/>
    <mergeCell ref="A11:B11"/>
    <mergeCell ref="C11:D11"/>
    <mergeCell ref="E11:I11"/>
    <mergeCell ref="A12:B12"/>
    <mergeCell ref="C12:D12"/>
    <mergeCell ref="E12:I12"/>
    <mergeCell ref="A1:I1"/>
    <mergeCell ref="A2:I2"/>
    <mergeCell ref="A4:I4"/>
    <mergeCell ref="B5:G5"/>
    <mergeCell ref="H5:I5"/>
    <mergeCell ref="B6:G6"/>
    <mergeCell ref="H6:I6"/>
    <mergeCell ref="B7:G7"/>
    <mergeCell ref="H7:I7"/>
    <mergeCell ref="B16:G16"/>
    <mergeCell ref="H16:I16"/>
    <mergeCell ref="B17:G17"/>
    <mergeCell ref="H17:I17"/>
    <mergeCell ref="B18:G18"/>
    <mergeCell ref="H18:I18"/>
    <mergeCell ref="B19:G19"/>
    <mergeCell ref="H19:I19"/>
    <mergeCell ref="A20:I20"/>
    <mergeCell ref="A21:I21"/>
    <mergeCell ref="B22:G22"/>
    <mergeCell ref="B23:G23"/>
    <mergeCell ref="B24:G24"/>
    <mergeCell ref="B25:G25"/>
    <mergeCell ref="B26:G26"/>
    <mergeCell ref="B27:G27"/>
    <mergeCell ref="B28:G28"/>
    <mergeCell ref="A29:H29"/>
    <mergeCell ref="A31:I31"/>
    <mergeCell ref="A32:G32"/>
    <mergeCell ref="B33:G33"/>
    <mergeCell ref="B34:G34"/>
    <mergeCell ref="A35:G35"/>
    <mergeCell ref="A36:I36"/>
    <mergeCell ref="A46:G46"/>
    <mergeCell ref="A47:I47"/>
    <mergeCell ref="A48:G48"/>
    <mergeCell ref="B49:G49"/>
    <mergeCell ref="B50:G50"/>
    <mergeCell ref="B51:G51"/>
    <mergeCell ref="B52:G52"/>
    <mergeCell ref="B53:G53"/>
    <mergeCell ref="A37:G37"/>
    <mergeCell ref="B38:G38"/>
    <mergeCell ref="B39:G39"/>
    <mergeCell ref="B40:G40"/>
    <mergeCell ref="B41:G41"/>
    <mergeCell ref="B42:G42"/>
    <mergeCell ref="B43:G43"/>
    <mergeCell ref="B44:G44"/>
    <mergeCell ref="B45:G45"/>
    <mergeCell ref="B54:G54"/>
    <mergeCell ref="A55:H55"/>
    <mergeCell ref="A56:I56"/>
    <mergeCell ref="A57:I57"/>
    <mergeCell ref="A58:H58"/>
    <mergeCell ref="B59:H59"/>
    <mergeCell ref="B60:H60"/>
    <mergeCell ref="B61:H61"/>
    <mergeCell ref="A62:H62"/>
    <mergeCell ref="A63:I63"/>
    <mergeCell ref="A64:I64"/>
    <mergeCell ref="B65:G65"/>
    <mergeCell ref="B66:G66"/>
    <mergeCell ref="B67:G67"/>
    <mergeCell ref="B68:G68"/>
    <mergeCell ref="B69:G69"/>
    <mergeCell ref="B70:G70"/>
    <mergeCell ref="B71:G71"/>
    <mergeCell ref="A72:G72"/>
    <mergeCell ref="A73:I73"/>
    <mergeCell ref="A74:I74"/>
    <mergeCell ref="A75:G75"/>
    <mergeCell ref="B76:G76"/>
    <mergeCell ref="B77:G77"/>
    <mergeCell ref="B78:G78"/>
    <mergeCell ref="B79:G79"/>
    <mergeCell ref="B80:G80"/>
    <mergeCell ref="B81:G81"/>
    <mergeCell ref="A82:G82"/>
    <mergeCell ref="A83:I83"/>
    <mergeCell ref="A84:G84"/>
    <mergeCell ref="B85:G85"/>
    <mergeCell ref="A86:G86"/>
    <mergeCell ref="A87:I87"/>
    <mergeCell ref="A88:I88"/>
    <mergeCell ref="A89:H89"/>
    <mergeCell ref="B90:H90"/>
    <mergeCell ref="B91:H91"/>
    <mergeCell ref="A92:H92"/>
    <mergeCell ref="A93:I93"/>
    <mergeCell ref="A94:I94"/>
    <mergeCell ref="B95:G95"/>
    <mergeCell ref="B96:G96"/>
    <mergeCell ref="B97:G97"/>
    <mergeCell ref="B98:G98"/>
    <mergeCell ref="B99:G99"/>
    <mergeCell ref="A100:G100"/>
    <mergeCell ref="A101:I101"/>
    <mergeCell ref="A102:I102"/>
    <mergeCell ref="B103:G103"/>
    <mergeCell ref="B104:G104"/>
    <mergeCell ref="B105:G105"/>
    <mergeCell ref="B106:G106"/>
    <mergeCell ref="B107:G107"/>
    <mergeCell ref="B108:G108"/>
    <mergeCell ref="B109:G109"/>
    <mergeCell ref="A110:G110"/>
    <mergeCell ref="B111:I111"/>
    <mergeCell ref="B112:G112"/>
    <mergeCell ref="B113:G113"/>
    <mergeCell ref="B115:G115"/>
    <mergeCell ref="B117:G117"/>
    <mergeCell ref="B119:G119"/>
    <mergeCell ref="A121:I121"/>
    <mergeCell ref="A122:H122"/>
    <mergeCell ref="B123:H123"/>
    <mergeCell ref="B124:H124"/>
    <mergeCell ref="B125:H125"/>
    <mergeCell ref="B126:H126"/>
    <mergeCell ref="B127:H127"/>
    <mergeCell ref="B128:H128"/>
    <mergeCell ref="B129:H129"/>
    <mergeCell ref="A130:H130"/>
    <mergeCell ref="B132:G132"/>
    <mergeCell ref="A133:B133"/>
    <mergeCell ref="C133:D133"/>
    <mergeCell ref="E133:F133"/>
    <mergeCell ref="A134:B134"/>
    <mergeCell ref="C134:D134"/>
    <mergeCell ref="E134:F134"/>
    <mergeCell ref="A135:B135"/>
    <mergeCell ref="C135:D135"/>
    <mergeCell ref="E135:F135"/>
    <mergeCell ref="A131:C131"/>
    <mergeCell ref="D131:I131"/>
    <mergeCell ref="A136:B136"/>
    <mergeCell ref="C136:D136"/>
    <mergeCell ref="E136:F136"/>
    <mergeCell ref="A137:B137"/>
    <mergeCell ref="C137:D137"/>
    <mergeCell ref="E137:F137"/>
    <mergeCell ref="A138:B138"/>
    <mergeCell ref="C138:D138"/>
    <mergeCell ref="E138:F138"/>
    <mergeCell ref="A159:H159"/>
    <mergeCell ref="A155:I155"/>
    <mergeCell ref="A157:I157"/>
    <mergeCell ref="B147:H147"/>
    <mergeCell ref="A148:H148"/>
    <mergeCell ref="A152:C152"/>
    <mergeCell ref="D152:I152"/>
    <mergeCell ref="A139:B139"/>
    <mergeCell ref="C139:D139"/>
    <mergeCell ref="E139:F139"/>
    <mergeCell ref="A140:H140"/>
    <mergeCell ref="B142:G142"/>
    <mergeCell ref="A143:I143"/>
    <mergeCell ref="B144:H144"/>
    <mergeCell ref="B145:H145"/>
    <mergeCell ref="B146:H146"/>
  </mergeCells>
  <pageMargins left="0.39305555555555599" right="0.196527777777778" top="0.59027777777777801" bottom="0.39305555555555599" header="0.156944444444444" footer="0.156944444444444"/>
  <pageSetup paperSize="9" scale="65" firstPageNumber="0" fitToHeight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zoomScale="150" zoomScaleNormal="150" workbookViewId="0">
      <selection activeCell="C24" sqref="C24"/>
    </sheetView>
  </sheetViews>
  <sheetFormatPr defaultColWidth="9" defaultRowHeight="13.2"/>
  <cols>
    <col min="1" max="1" width="19" customWidth="1"/>
    <col min="2" max="2" width="9.6640625" customWidth="1"/>
    <col min="3" max="3" width="23.6640625" customWidth="1"/>
    <col min="4" max="4" width="20" customWidth="1"/>
    <col min="5" max="5" width="24.44140625" customWidth="1"/>
  </cols>
  <sheetData>
    <row r="1" spans="1:5">
      <c r="A1" s="4" t="s">
        <v>154</v>
      </c>
      <c r="B1" s="4" t="s">
        <v>168</v>
      </c>
      <c r="C1" s="4" t="s">
        <v>169</v>
      </c>
      <c r="D1" s="4" t="s">
        <v>170</v>
      </c>
      <c r="E1" s="4" t="s">
        <v>171</v>
      </c>
    </row>
    <row r="2" spans="1:5">
      <c r="A2" s="3" t="s">
        <v>172</v>
      </c>
      <c r="B2" s="2">
        <v>6350</v>
      </c>
      <c r="C2" s="2">
        <v>800</v>
      </c>
      <c r="D2" s="2">
        <f>B2/C2</f>
        <v>7.9375</v>
      </c>
      <c r="E2" s="2">
        <v>7</v>
      </c>
    </row>
    <row r="3" spans="1:5">
      <c r="A3" s="3" t="s">
        <v>173</v>
      </c>
      <c r="B3" s="2">
        <v>4500</v>
      </c>
      <c r="C3" s="2">
        <v>1800</v>
      </c>
      <c r="D3" s="2">
        <f t="shared" ref="D3" si="0">B3/C3</f>
        <v>2.5</v>
      </c>
      <c r="E3" s="2">
        <v>2</v>
      </c>
    </row>
    <row r="4" spans="1:5">
      <c r="A4" s="4" t="s">
        <v>158</v>
      </c>
      <c r="B4" s="1">
        <f>SUM(B2:B3)</f>
        <v>10850</v>
      </c>
      <c r="C4" s="137"/>
      <c r="D4" s="138"/>
      <c r="E4" s="1">
        <f>SUM(E2:E3)</f>
        <v>9</v>
      </c>
    </row>
  </sheetData>
  <mergeCells count="1">
    <mergeCell ref="C4:D4"/>
  </mergeCells>
  <pageMargins left="0.51180555555555596" right="0.51180555555555596" top="0.78680555555555598" bottom="0.78680555555555598" header="0.31458333333333299" footer="0.3145833333333329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8E911-1EFB-4AB2-89C0-403DE5E7698E}">
  <sheetPr>
    <pageSetUpPr fitToPage="1"/>
  </sheetPr>
  <dimension ref="A1:O46"/>
  <sheetViews>
    <sheetView tabSelected="1" zoomScale="60" zoomScaleNormal="60" workbookViewId="0">
      <selection activeCell="I32" sqref="I32"/>
    </sheetView>
  </sheetViews>
  <sheetFormatPr defaultRowHeight="13.2"/>
  <cols>
    <col min="1" max="1" width="7.88671875" customWidth="1"/>
    <col min="2" max="2" width="75.109375" customWidth="1"/>
    <col min="3" max="3" width="15.6640625" customWidth="1"/>
    <col min="4" max="4" width="14.88671875" customWidth="1"/>
    <col min="5" max="5" width="10.44140625" customWidth="1"/>
    <col min="6" max="6" width="11.33203125" customWidth="1"/>
    <col min="7" max="7" width="14.33203125" customWidth="1"/>
    <col min="8" max="8" width="28.44140625" customWidth="1"/>
    <col min="9" max="9" width="41.109375" customWidth="1"/>
    <col min="10" max="10" width="33.6640625" style="86" customWidth="1"/>
    <col min="11" max="11" width="16.44140625" customWidth="1"/>
    <col min="12" max="12" width="15.5546875" customWidth="1"/>
    <col min="13" max="13" width="21.88671875" customWidth="1"/>
    <col min="14" max="14" width="28.44140625" customWidth="1"/>
    <col min="15" max="15" width="51.6640625" customWidth="1"/>
  </cols>
  <sheetData>
    <row r="1" spans="1:15" ht="15.6">
      <c r="A1" s="147" t="s">
        <v>176</v>
      </c>
      <c r="B1" s="147"/>
      <c r="C1" s="147"/>
      <c r="D1" s="147"/>
      <c r="E1" s="147"/>
      <c r="F1" s="147"/>
      <c r="G1" s="147"/>
      <c r="H1" s="147"/>
      <c r="I1" s="148"/>
      <c r="J1" s="148"/>
      <c r="K1" s="147"/>
      <c r="L1" s="147"/>
      <c r="M1" s="147"/>
      <c r="N1" s="147"/>
      <c r="O1" s="147"/>
    </row>
    <row r="2" spans="1:15" ht="15.6">
      <c r="A2" s="147" t="s">
        <v>177</v>
      </c>
      <c r="B2" s="147"/>
      <c r="C2" s="147"/>
      <c r="D2" s="147"/>
      <c r="E2" s="147"/>
      <c r="F2" s="147"/>
      <c r="G2" s="147"/>
      <c r="H2" s="147"/>
      <c r="I2" s="148"/>
      <c r="J2" s="148"/>
      <c r="K2" s="147"/>
      <c r="L2" s="147"/>
      <c r="M2" s="147"/>
      <c r="N2" s="147"/>
      <c r="O2" s="147"/>
    </row>
    <row r="3" spans="1:15" ht="16.2">
      <c r="A3" s="147" t="s">
        <v>178</v>
      </c>
      <c r="B3" s="147"/>
      <c r="C3" s="147"/>
      <c r="D3" s="147"/>
      <c r="E3" s="147"/>
      <c r="F3" s="147"/>
      <c r="G3" s="147"/>
      <c r="H3" s="147"/>
      <c r="I3" s="148"/>
      <c r="J3" s="148"/>
      <c r="K3" s="147"/>
      <c r="L3" s="147"/>
      <c r="M3" s="147"/>
      <c r="N3" s="147"/>
      <c r="O3" s="147"/>
    </row>
    <row r="4" spans="1:15" ht="15.6">
      <c r="A4" s="149" t="s">
        <v>179</v>
      </c>
      <c r="B4" s="149"/>
      <c r="C4" s="149"/>
      <c r="D4" s="149"/>
      <c r="E4" s="149"/>
      <c r="F4" s="149"/>
      <c r="G4" s="149"/>
      <c r="H4" s="149"/>
      <c r="I4" s="150"/>
      <c r="J4" s="150"/>
      <c r="K4" s="149"/>
      <c r="L4" s="149"/>
      <c r="M4" s="149"/>
      <c r="N4" s="149"/>
      <c r="O4" s="149"/>
    </row>
    <row r="5" spans="1:15">
      <c r="A5" s="151" t="s">
        <v>180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1:15" ht="28.8">
      <c r="A7" s="153" t="s">
        <v>181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</row>
    <row r="8" spans="1:15" ht="39.6">
      <c r="A8" s="53" t="s">
        <v>182</v>
      </c>
      <c r="B8" s="53" t="s">
        <v>183</v>
      </c>
      <c r="C8" s="53" t="s">
        <v>184</v>
      </c>
      <c r="D8" s="53" t="s">
        <v>185</v>
      </c>
      <c r="E8" s="53" t="s">
        <v>186</v>
      </c>
      <c r="F8" s="53" t="s">
        <v>187</v>
      </c>
      <c r="G8" s="54" t="s">
        <v>188</v>
      </c>
      <c r="H8" s="54" t="s">
        <v>189</v>
      </c>
      <c r="I8" s="54" t="s">
        <v>190</v>
      </c>
      <c r="J8" s="54" t="s">
        <v>191</v>
      </c>
      <c r="K8" s="55" t="s">
        <v>192</v>
      </c>
      <c r="L8" s="56" t="s">
        <v>193</v>
      </c>
      <c r="M8" s="56" t="s">
        <v>194</v>
      </c>
      <c r="N8" s="56" t="s">
        <v>195</v>
      </c>
      <c r="O8" s="56" t="s">
        <v>196</v>
      </c>
    </row>
    <row r="9" spans="1:15" ht="26.4">
      <c r="A9" s="139">
        <v>1</v>
      </c>
      <c r="B9" s="141" t="s">
        <v>197</v>
      </c>
      <c r="C9" s="139" t="s">
        <v>198</v>
      </c>
      <c r="D9" s="144" t="s">
        <v>199</v>
      </c>
      <c r="E9" s="144">
        <v>2</v>
      </c>
      <c r="F9" s="139">
        <f>IF($D9="MENSAL",E9*12,IF($D9="ANUAL",E9,IF($D9="SEMESTRAL",E9*2,IF($D9="TRIMESTRAL",E9*4,IF($D9="BIENAL",E9/2,0)))))</f>
        <v>4</v>
      </c>
      <c r="G9" s="58">
        <v>67.5</v>
      </c>
      <c r="H9" s="58" t="s">
        <v>200</v>
      </c>
      <c r="I9" s="59" t="s">
        <v>201</v>
      </c>
      <c r="J9" s="58" t="s">
        <v>202</v>
      </c>
      <c r="K9" s="156">
        <f>AVERAGE(G9:G11)</f>
        <v>64.476666666666674</v>
      </c>
      <c r="L9" s="156">
        <f>K9*E9</f>
        <v>128.95333333333335</v>
      </c>
      <c r="M9" s="156">
        <f>K9*F9</f>
        <v>257.90666666666669</v>
      </c>
      <c r="N9" s="61">
        <f>(((G9+G10)/2)-G11)/(G11)</f>
        <v>4.7440000000000052E-2</v>
      </c>
      <c r="O9" s="157" t="s">
        <v>203</v>
      </c>
    </row>
    <row r="10" spans="1:15" ht="26.4">
      <c r="A10" s="140"/>
      <c r="B10" s="142"/>
      <c r="C10" s="139"/>
      <c r="D10" s="145"/>
      <c r="E10" s="145"/>
      <c r="F10" s="139"/>
      <c r="G10" s="58">
        <v>63.43</v>
      </c>
      <c r="H10" s="58" t="s">
        <v>200</v>
      </c>
      <c r="I10" s="59" t="s">
        <v>204</v>
      </c>
      <c r="J10" s="58" t="s">
        <v>205</v>
      </c>
      <c r="K10" s="156"/>
      <c r="L10" s="156"/>
      <c r="M10" s="156"/>
      <c r="N10" s="61">
        <f>(((G10+G11)/2)-G9)/(G9)</f>
        <v>-6.7185185185185139E-2</v>
      </c>
      <c r="O10" s="158"/>
    </row>
    <row r="11" spans="1:15" ht="26.4">
      <c r="A11" s="140"/>
      <c r="B11" s="143"/>
      <c r="C11" s="139"/>
      <c r="D11" s="146"/>
      <c r="E11" s="146"/>
      <c r="F11" s="139"/>
      <c r="G11" s="58">
        <v>62.5</v>
      </c>
      <c r="H11" s="58" t="s">
        <v>200</v>
      </c>
      <c r="I11" s="59" t="s">
        <v>206</v>
      </c>
      <c r="J11" s="58" t="s">
        <v>207</v>
      </c>
      <c r="K11" s="156"/>
      <c r="L11" s="156"/>
      <c r="M11" s="156"/>
      <c r="N11" s="61">
        <f>(((G9+G11)/2)-G10)/(G10)</f>
        <v>2.4751694781649066E-2</v>
      </c>
      <c r="O11" s="159"/>
    </row>
    <row r="12" spans="1:15" ht="26.4">
      <c r="A12" s="139">
        <v>2</v>
      </c>
      <c r="B12" s="141" t="s">
        <v>208</v>
      </c>
      <c r="C12" s="139" t="s">
        <v>198</v>
      </c>
      <c r="D12" s="144" t="s">
        <v>199</v>
      </c>
      <c r="E12" s="144">
        <v>2</v>
      </c>
      <c r="F12" s="139">
        <f>IF($D12="MENSAL",E12*12,IF($D12="ANUAL",E12,IF($D12="SEMESTRAL",E12*2,IF($D12="TRIMESTRAL",E12*4,IF($D12="BIENAL",E12/2,0)))))</f>
        <v>4</v>
      </c>
      <c r="G12" s="58">
        <v>39.799999999999997</v>
      </c>
      <c r="H12" s="58" t="s">
        <v>200</v>
      </c>
      <c r="I12" s="59" t="s">
        <v>209</v>
      </c>
      <c r="J12" s="58" t="s">
        <v>210</v>
      </c>
      <c r="K12" s="156">
        <f>AVERAGE(G12:G14)</f>
        <v>40.266666666666666</v>
      </c>
      <c r="L12" s="156">
        <f>K12*E12</f>
        <v>80.533333333333331</v>
      </c>
      <c r="M12" s="156">
        <f>K12*F12</f>
        <v>161.06666666666666</v>
      </c>
      <c r="N12" s="61">
        <f>(((G12+G13)/2)-G14)/(G14)</f>
        <v>-0.12727272727272732</v>
      </c>
      <c r="O12" s="157" t="s">
        <v>203</v>
      </c>
    </row>
    <row r="13" spans="1:15" ht="26.4">
      <c r="A13" s="140"/>
      <c r="B13" s="142"/>
      <c r="C13" s="139"/>
      <c r="D13" s="145"/>
      <c r="E13" s="145"/>
      <c r="F13" s="139"/>
      <c r="G13" s="58">
        <v>37</v>
      </c>
      <c r="H13" s="58" t="s">
        <v>200</v>
      </c>
      <c r="I13" s="59" t="s">
        <v>211</v>
      </c>
      <c r="J13" s="58" t="s">
        <v>212</v>
      </c>
      <c r="K13" s="156"/>
      <c r="L13" s="156"/>
      <c r="M13" s="156"/>
      <c r="N13" s="61">
        <f>(((G13+G14)/2)-G12)/(G12)</f>
        <v>1.7587939698492535E-2</v>
      </c>
      <c r="O13" s="158"/>
    </row>
    <row r="14" spans="1:15" ht="26.4">
      <c r="A14" s="140"/>
      <c r="B14" s="143"/>
      <c r="C14" s="139"/>
      <c r="D14" s="146"/>
      <c r="E14" s="146"/>
      <c r="F14" s="139"/>
      <c r="G14" s="66">
        <v>44</v>
      </c>
      <c r="H14" s="66" t="s">
        <v>200</v>
      </c>
      <c r="I14" s="67" t="s">
        <v>213</v>
      </c>
      <c r="J14" s="66" t="s">
        <v>214</v>
      </c>
      <c r="K14" s="156"/>
      <c r="L14" s="156"/>
      <c r="M14" s="156"/>
      <c r="N14" s="61">
        <f>(((G12+G14)/2)-G13)/(G13)</f>
        <v>0.13243243243243238</v>
      </c>
      <c r="O14" s="159"/>
    </row>
    <row r="15" spans="1:15" ht="26.4">
      <c r="A15" s="139">
        <v>3</v>
      </c>
      <c r="B15" s="141" t="s">
        <v>215</v>
      </c>
      <c r="C15" s="139" t="s">
        <v>198</v>
      </c>
      <c r="D15" s="144" t="s">
        <v>216</v>
      </c>
      <c r="E15" s="144">
        <v>2</v>
      </c>
      <c r="F15" s="139">
        <f>IF($D15="MENSAL",E15*12,IF($D15="ANUAL",E15,IF($D15="SEMESTRAL",E15*2,IF($D15="TRIMESTRAL",E15*4,IF($D15="BIENAL",E15/2,0)))))</f>
        <v>2</v>
      </c>
      <c r="G15" s="58">
        <v>70</v>
      </c>
      <c r="H15" s="58" t="s">
        <v>200</v>
      </c>
      <c r="I15" s="59" t="s">
        <v>217</v>
      </c>
      <c r="J15" s="58" t="s">
        <v>218</v>
      </c>
      <c r="K15" s="156">
        <f>AVERAGE(G15:G17)</f>
        <v>70.263333333333335</v>
      </c>
      <c r="L15" s="156">
        <f>K15*E15</f>
        <v>140.52666666666667</v>
      </c>
      <c r="M15" s="156">
        <f>K15*F15</f>
        <v>140.52666666666667</v>
      </c>
      <c r="N15" s="61">
        <f>(((G15+G16)/2)-G17)/(G17)</f>
        <v>-1.1159768328860096E-2</v>
      </c>
      <c r="O15" s="157" t="s">
        <v>203</v>
      </c>
    </row>
    <row r="16" spans="1:15" ht="26.4">
      <c r="A16" s="140"/>
      <c r="B16" s="142"/>
      <c r="C16" s="139"/>
      <c r="D16" s="145"/>
      <c r="E16" s="145"/>
      <c r="F16" s="139"/>
      <c r="G16" s="58">
        <v>70</v>
      </c>
      <c r="H16" s="58" t="s">
        <v>200</v>
      </c>
      <c r="I16" s="59" t="s">
        <v>219</v>
      </c>
      <c r="J16" s="58" t="s">
        <v>220</v>
      </c>
      <c r="K16" s="156"/>
      <c r="L16" s="156"/>
      <c r="M16" s="156"/>
      <c r="N16" s="61">
        <f>(((G16+G17)/2)-G15)/(G15)</f>
        <v>5.6428571428572888E-3</v>
      </c>
      <c r="O16" s="158"/>
    </row>
    <row r="17" spans="1:15" ht="26.4">
      <c r="A17" s="140"/>
      <c r="B17" s="143"/>
      <c r="C17" s="139"/>
      <c r="D17" s="146"/>
      <c r="E17" s="146"/>
      <c r="F17" s="139"/>
      <c r="G17" s="58">
        <v>70.790000000000006</v>
      </c>
      <c r="H17" s="58" t="s">
        <v>200</v>
      </c>
      <c r="I17" s="59" t="s">
        <v>221</v>
      </c>
      <c r="J17" s="58" t="s">
        <v>222</v>
      </c>
      <c r="K17" s="156"/>
      <c r="L17" s="156"/>
      <c r="M17" s="156"/>
      <c r="N17" s="61">
        <f>(((G15+G17)/2)-G16)/(G16)</f>
        <v>5.6428571428572888E-3</v>
      </c>
      <c r="O17" s="159"/>
    </row>
    <row r="18" spans="1:15" ht="39.6">
      <c r="A18" s="139">
        <v>4</v>
      </c>
      <c r="B18" s="141" t="s">
        <v>223</v>
      </c>
      <c r="C18" s="139" t="s">
        <v>224</v>
      </c>
      <c r="D18" s="144" t="s">
        <v>216</v>
      </c>
      <c r="E18" s="144">
        <v>1</v>
      </c>
      <c r="F18" s="139">
        <f>IF($D18="MENSAL",E18*12,IF($D18="ANUAL",E18,IF($D18="SEMESTRAL",E18*2,IF($D18="TRIMESTRAL",E18*4,IF($D18="BIENAL",E18/2,0)))))</f>
        <v>1</v>
      </c>
      <c r="G18" s="58">
        <v>63.36</v>
      </c>
      <c r="H18" s="58" t="s">
        <v>200</v>
      </c>
      <c r="I18" s="59" t="s">
        <v>225</v>
      </c>
      <c r="J18" s="58" t="s">
        <v>226</v>
      </c>
      <c r="K18" s="156">
        <f>AVERAGE(G18:G20)</f>
        <v>70.88666666666667</v>
      </c>
      <c r="L18" s="156">
        <f>K18*E18</f>
        <v>70.88666666666667</v>
      </c>
      <c r="M18" s="156">
        <f>K18*F18</f>
        <v>70.88666666666667</v>
      </c>
      <c r="N18" s="61">
        <f>(((G18+G19)/2)-G20)/(G20)</f>
        <v>-0.17087500000000003</v>
      </c>
      <c r="O18" s="157" t="s">
        <v>227</v>
      </c>
    </row>
    <row r="19" spans="1:15" ht="26.4">
      <c r="A19" s="140"/>
      <c r="B19" s="142"/>
      <c r="C19" s="139"/>
      <c r="D19" s="145"/>
      <c r="E19" s="145"/>
      <c r="F19" s="139"/>
      <c r="G19" s="58">
        <v>69.3</v>
      </c>
      <c r="H19" s="58" t="s">
        <v>200</v>
      </c>
      <c r="I19" s="59" t="s">
        <v>228</v>
      </c>
      <c r="J19" s="58" t="s">
        <v>229</v>
      </c>
      <c r="K19" s="156"/>
      <c r="L19" s="156"/>
      <c r="M19" s="156"/>
      <c r="N19" s="61">
        <f>(((G19+G20)/2)-G18)/(G18)</f>
        <v>0.17818813131313141</v>
      </c>
      <c r="O19" s="158"/>
    </row>
    <row r="20" spans="1:15" ht="39.6">
      <c r="A20" s="140"/>
      <c r="B20" s="143"/>
      <c r="C20" s="139"/>
      <c r="D20" s="146"/>
      <c r="E20" s="146"/>
      <c r="F20" s="139"/>
      <c r="G20" s="58">
        <v>80</v>
      </c>
      <c r="H20" s="58" t="s">
        <v>200</v>
      </c>
      <c r="I20" s="59" t="s">
        <v>230</v>
      </c>
      <c r="J20" s="58" t="s">
        <v>231</v>
      </c>
      <c r="K20" s="156"/>
      <c r="L20" s="156"/>
      <c r="M20" s="156"/>
      <c r="N20" s="61">
        <f>(((G18+G20)/2)-G19)/(G19)</f>
        <v>3.4343434343434481E-2</v>
      </c>
      <c r="O20" s="159"/>
    </row>
    <row r="21" spans="1:15" ht="39.6">
      <c r="A21" s="139">
        <v>5</v>
      </c>
      <c r="B21" s="141" t="s">
        <v>232</v>
      </c>
      <c r="C21" s="139" t="s">
        <v>224</v>
      </c>
      <c r="D21" s="144" t="s">
        <v>199</v>
      </c>
      <c r="E21" s="144">
        <v>2</v>
      </c>
      <c r="F21" s="139">
        <f>IF($D21="MENSAL",E21*12,IF($D21="ANUAL",E21,IF($D21="SEMESTRAL",E21*2,IF($D21="TRIMESTRAL",E21*4,IF($D21="BIENAL",E21/2,0)))))</f>
        <v>4</v>
      </c>
      <c r="G21" s="66">
        <v>10</v>
      </c>
      <c r="H21" s="66" t="s">
        <v>200</v>
      </c>
      <c r="I21" s="67" t="s">
        <v>233</v>
      </c>
      <c r="J21" s="66" t="s">
        <v>234</v>
      </c>
      <c r="K21" s="156">
        <f>AVERAGE(G21:G23)</f>
        <v>11.323333333333332</v>
      </c>
      <c r="L21" s="156">
        <f>K21*E21</f>
        <v>22.646666666666665</v>
      </c>
      <c r="M21" s="156">
        <f>K21*F21</f>
        <v>45.293333333333329</v>
      </c>
      <c r="N21" s="61">
        <f>(((G21+G22)/2)-G23)/(G23)</f>
        <v>-8.4583333333333385E-2</v>
      </c>
      <c r="O21" s="157" t="s">
        <v>235</v>
      </c>
    </row>
    <row r="22" spans="1:15" ht="26.4">
      <c r="A22" s="140"/>
      <c r="B22" s="142"/>
      <c r="C22" s="139"/>
      <c r="D22" s="145"/>
      <c r="E22" s="145"/>
      <c r="F22" s="139"/>
      <c r="G22" s="58">
        <v>11.97</v>
      </c>
      <c r="H22" s="58" t="s">
        <v>200</v>
      </c>
      <c r="I22" s="59" t="s">
        <v>236</v>
      </c>
      <c r="J22" s="58" t="s">
        <v>237</v>
      </c>
      <c r="K22" s="156"/>
      <c r="L22" s="156"/>
      <c r="M22" s="156"/>
      <c r="N22" s="61">
        <f>(((G22+G23)/2)-G21)/(G21)</f>
        <v>0.19849999999999995</v>
      </c>
      <c r="O22" s="158"/>
    </row>
    <row r="23" spans="1:15" ht="26.4">
      <c r="A23" s="140"/>
      <c r="B23" s="143"/>
      <c r="C23" s="139"/>
      <c r="D23" s="146"/>
      <c r="E23" s="146"/>
      <c r="F23" s="139"/>
      <c r="G23" s="58">
        <v>12</v>
      </c>
      <c r="H23" s="58" t="s">
        <v>200</v>
      </c>
      <c r="I23" s="68" t="s">
        <v>238</v>
      </c>
      <c r="J23" s="69" t="s">
        <v>239</v>
      </c>
      <c r="K23" s="156"/>
      <c r="L23" s="156"/>
      <c r="M23" s="156"/>
      <c r="N23" s="61">
        <f>(((G21+G23)/2)-G22)/(G22)</f>
        <v>-8.103592314118635E-2</v>
      </c>
      <c r="O23" s="159"/>
    </row>
    <row r="24" spans="1:15" ht="26.4">
      <c r="A24" s="139">
        <v>6</v>
      </c>
      <c r="B24" s="141" t="s">
        <v>240</v>
      </c>
      <c r="C24" s="139" t="s">
        <v>198</v>
      </c>
      <c r="D24" s="144" t="s">
        <v>216</v>
      </c>
      <c r="E24" s="144">
        <v>1</v>
      </c>
      <c r="F24" s="139">
        <f>IF($D24="MENSAL",E24*12,IF($D24="ANUAL",E24,IF($D24="SEMESTRAL",E24*2,IF($D24="TRIMESTRAL",E24*4,IF($D24="BIENAL",E24/2,0)))))</f>
        <v>1</v>
      </c>
      <c r="G24" s="58">
        <v>14</v>
      </c>
      <c r="H24" s="58" t="s">
        <v>200</v>
      </c>
      <c r="I24" s="59" t="s">
        <v>241</v>
      </c>
      <c r="J24" s="58" t="s">
        <v>242</v>
      </c>
      <c r="K24" s="156">
        <f>AVERAGE(G24:G26)</f>
        <v>13.986666666666666</v>
      </c>
      <c r="L24" s="156">
        <f>K24*E24</f>
        <v>13.986666666666666</v>
      </c>
      <c r="M24" s="156">
        <f>K24*F24</f>
        <v>13.986666666666666</v>
      </c>
      <c r="N24" s="61">
        <f>(((G24+G25)/2)-G26)/(G26)</f>
        <v>0.25271512113617378</v>
      </c>
      <c r="O24" s="157" t="s">
        <v>243</v>
      </c>
    </row>
    <row r="25" spans="1:15" ht="39.6">
      <c r="A25" s="140"/>
      <c r="B25" s="142"/>
      <c r="C25" s="139"/>
      <c r="D25" s="145"/>
      <c r="E25" s="145"/>
      <c r="F25" s="139"/>
      <c r="G25" s="66">
        <v>15.99</v>
      </c>
      <c r="H25" s="66" t="s">
        <v>200</v>
      </c>
      <c r="I25" s="67" t="s">
        <v>244</v>
      </c>
      <c r="J25" s="66" t="s">
        <v>245</v>
      </c>
      <c r="K25" s="156"/>
      <c r="L25" s="156"/>
      <c r="M25" s="156"/>
      <c r="N25" s="61">
        <f>(((G25+G26)/2)-G24)/(G24)</f>
        <v>-1.4285714285713982E-3</v>
      </c>
      <c r="O25" s="158"/>
    </row>
    <row r="26" spans="1:15" ht="40.200000000000003" thickBot="1">
      <c r="A26" s="164"/>
      <c r="B26" s="142"/>
      <c r="C26" s="144"/>
      <c r="D26" s="145"/>
      <c r="E26" s="145"/>
      <c r="F26" s="144"/>
      <c r="G26" s="70">
        <v>11.97</v>
      </c>
      <c r="H26" s="70" t="s">
        <v>200</v>
      </c>
      <c r="I26" s="71" t="s">
        <v>246</v>
      </c>
      <c r="J26" s="70" t="s">
        <v>247</v>
      </c>
      <c r="K26" s="160"/>
      <c r="L26" s="160"/>
      <c r="M26" s="160"/>
      <c r="N26" s="61">
        <f>(((G24+G26)/2)-G25)/(G25)</f>
        <v>-0.18792995622263919</v>
      </c>
      <c r="O26" s="159"/>
    </row>
    <row r="27" spans="1:15" ht="13.8" thickBot="1">
      <c r="A27" s="161" t="s">
        <v>248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3"/>
      <c r="M27" s="72">
        <f>SUM(M9:M26)</f>
        <v>689.66666666666663</v>
      </c>
      <c r="N27" s="73"/>
      <c r="O27" s="65"/>
    </row>
    <row r="28" spans="1:15" ht="13.8" thickBot="1">
      <c r="A28" s="161" t="s">
        <v>249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3"/>
      <c r="M28" s="72">
        <f>M27/12</f>
        <v>57.472222222222221</v>
      </c>
      <c r="N28" s="73"/>
      <c r="O28" s="65"/>
    </row>
    <row r="29" spans="1:15">
      <c r="A29" s="62"/>
      <c r="B29" s="63"/>
      <c r="C29" s="57"/>
      <c r="D29" s="64"/>
      <c r="E29" s="64"/>
      <c r="F29" s="57"/>
      <c r="G29" s="66"/>
      <c r="H29" s="66"/>
      <c r="I29" s="67"/>
      <c r="J29" s="66"/>
      <c r="K29" s="60"/>
      <c r="L29" s="60"/>
      <c r="M29" s="74"/>
      <c r="N29" s="61"/>
      <c r="O29" s="65"/>
    </row>
    <row r="30" spans="1:15" ht="39.6">
      <c r="A30" s="139">
        <v>7</v>
      </c>
      <c r="B30" s="141" t="s">
        <v>250</v>
      </c>
      <c r="C30" s="139" t="s">
        <v>251</v>
      </c>
      <c r="D30" s="144" t="s">
        <v>252</v>
      </c>
      <c r="E30" s="144">
        <v>6</v>
      </c>
      <c r="F30" s="139">
        <f>IF($D30="MENSAL",E30*12,IF($D30="ANUAL",E30,IF($D30="SEMESTRAL",E30*2,IF($D30="TRIMESTRAL",E30*4,IF($D30="BIENAL",E30/2,0)))))</f>
        <v>24</v>
      </c>
      <c r="G30" s="58">
        <v>16.43</v>
      </c>
      <c r="H30" s="58" t="s">
        <v>200</v>
      </c>
      <c r="I30" s="59" t="s">
        <v>253</v>
      </c>
      <c r="J30" s="58" t="s">
        <v>254</v>
      </c>
      <c r="K30" s="156">
        <f>AVERAGE(G30:G32)</f>
        <v>17.696666666666669</v>
      </c>
      <c r="L30" s="156">
        <f>K30*E30</f>
        <v>106.18</v>
      </c>
      <c r="M30" s="156">
        <f>K30*F30</f>
        <v>424.72</v>
      </c>
      <c r="N30" s="61">
        <f>(((G30+G31)/2)-G32)/(G32)</f>
        <v>-2.5277777777777684E-2</v>
      </c>
      <c r="O30" s="157" t="s">
        <v>255</v>
      </c>
    </row>
    <row r="31" spans="1:15" ht="26.4">
      <c r="A31" s="140"/>
      <c r="B31" s="142"/>
      <c r="C31" s="139"/>
      <c r="D31" s="145"/>
      <c r="E31" s="145"/>
      <c r="F31" s="139"/>
      <c r="G31" s="58">
        <v>18.66</v>
      </c>
      <c r="H31" s="58" t="s">
        <v>200</v>
      </c>
      <c r="I31" s="59" t="s">
        <v>256</v>
      </c>
      <c r="J31" s="58" t="s">
        <v>257</v>
      </c>
      <c r="K31" s="156"/>
      <c r="L31" s="156"/>
      <c r="M31" s="156"/>
      <c r="N31" s="61">
        <f>(((G31+G32)/2)-G30)/(G30)</f>
        <v>0.11564211807668889</v>
      </c>
      <c r="O31" s="158"/>
    </row>
    <row r="32" spans="1:15" ht="39.6">
      <c r="A32" s="140"/>
      <c r="B32" s="143"/>
      <c r="C32" s="139"/>
      <c r="D32" s="146"/>
      <c r="E32" s="146"/>
      <c r="F32" s="139"/>
      <c r="G32" s="66">
        <v>18</v>
      </c>
      <c r="H32" s="66" t="s">
        <v>200</v>
      </c>
      <c r="I32" s="67" t="s">
        <v>258</v>
      </c>
      <c r="J32" s="66" t="s">
        <v>259</v>
      </c>
      <c r="K32" s="156"/>
      <c r="L32" s="156"/>
      <c r="M32" s="156"/>
      <c r="N32" s="61">
        <f>(((G30+G32)/2)-G31)/(G31)</f>
        <v>-7.7438370846730983E-2</v>
      </c>
      <c r="O32" s="159"/>
    </row>
    <row r="33" spans="1:15" ht="39.6">
      <c r="A33" s="139">
        <v>8</v>
      </c>
      <c r="B33" s="141" t="s">
        <v>260</v>
      </c>
      <c r="C33" s="139" t="s">
        <v>251</v>
      </c>
      <c r="D33" s="144" t="s">
        <v>252</v>
      </c>
      <c r="E33" s="144">
        <v>3</v>
      </c>
      <c r="F33" s="139">
        <f>IF($D33="MENSAL",E33*12,IF($D33="ANUAL",E33,IF($D33="SEMESTRAL",E33*2,IF($D33="TRIMESTRAL",E33*4,IF($D33="BIENAL",E33/2,0)))))</f>
        <v>12</v>
      </c>
      <c r="G33" s="58">
        <v>15.75</v>
      </c>
      <c r="H33" s="58" t="s">
        <v>200</v>
      </c>
      <c r="I33" s="59" t="s">
        <v>261</v>
      </c>
      <c r="J33" s="58" t="s">
        <v>262</v>
      </c>
      <c r="K33" s="156">
        <f>AVERAGE(G33:G35)</f>
        <v>15.003333333333332</v>
      </c>
      <c r="L33" s="156">
        <f>K33*E33</f>
        <v>45.01</v>
      </c>
      <c r="M33" s="156">
        <f>K33*F33</f>
        <v>180.04</v>
      </c>
      <c r="N33" s="61">
        <f>(((G33+G34)/2)-G35)/(G35)</f>
        <v>6.2847222222222179E-2</v>
      </c>
      <c r="O33" s="157" t="s">
        <v>263</v>
      </c>
    </row>
    <row r="34" spans="1:15" ht="26.4">
      <c r="A34" s="140"/>
      <c r="B34" s="142"/>
      <c r="C34" s="139"/>
      <c r="D34" s="145"/>
      <c r="E34" s="145"/>
      <c r="F34" s="139"/>
      <c r="G34" s="58">
        <v>14.86</v>
      </c>
      <c r="H34" s="58" t="s">
        <v>200</v>
      </c>
      <c r="I34" s="59" t="s">
        <v>264</v>
      </c>
      <c r="J34" s="58" t="s">
        <v>265</v>
      </c>
      <c r="K34" s="156"/>
      <c r="L34" s="156"/>
      <c r="M34" s="156"/>
      <c r="N34" s="61">
        <f>(((G34+G35)/2)-G33)/(G33)</f>
        <v>-7.111111111111118E-2</v>
      </c>
      <c r="O34" s="158"/>
    </row>
    <row r="35" spans="1:15" ht="26.4">
      <c r="A35" s="140"/>
      <c r="B35" s="143"/>
      <c r="C35" s="139"/>
      <c r="D35" s="146"/>
      <c r="E35" s="146"/>
      <c r="F35" s="139"/>
      <c r="G35" s="58">
        <v>14.4</v>
      </c>
      <c r="H35" s="58" t="s">
        <v>200</v>
      </c>
      <c r="I35" s="59" t="s">
        <v>266</v>
      </c>
      <c r="J35" s="58" t="s">
        <v>267</v>
      </c>
      <c r="K35" s="156"/>
      <c r="L35" s="156"/>
      <c r="M35" s="156"/>
      <c r="N35" s="61">
        <f>(((G33+G35)/2)-G34)/(G34)</f>
        <v>1.4468371467025563E-2</v>
      </c>
      <c r="O35" s="159"/>
    </row>
    <row r="36" spans="1:15" ht="26.4">
      <c r="A36" s="139">
        <v>9</v>
      </c>
      <c r="B36" s="141" t="s">
        <v>268</v>
      </c>
      <c r="C36" s="139" t="s">
        <v>198</v>
      </c>
      <c r="D36" s="144" t="s">
        <v>252</v>
      </c>
      <c r="E36" s="144">
        <v>10</v>
      </c>
      <c r="F36" s="139">
        <f>IF($D36="MENSAL",E36*12,IF($D36="ANUAL",E36,IF($D36="SEMESTRAL",E36*2,IF($D36="TRIMESTRAL",E36*4,IF($D36="BIENAL",E36/2,0)))))</f>
        <v>40</v>
      </c>
      <c r="G36" s="58">
        <v>1.7</v>
      </c>
      <c r="H36" s="58" t="s">
        <v>200</v>
      </c>
      <c r="I36" s="58" t="s">
        <v>269</v>
      </c>
      <c r="J36" s="58" t="s">
        <v>270</v>
      </c>
      <c r="K36" s="156">
        <f>AVERAGE(G36:G38)</f>
        <v>1.71</v>
      </c>
      <c r="L36" s="156">
        <f>K36*E36</f>
        <v>17.100000000000001</v>
      </c>
      <c r="M36" s="156">
        <f>K36*F36</f>
        <v>68.400000000000006</v>
      </c>
      <c r="N36" s="61">
        <f>(((G36+G37)/2)-G38)/(G38)</f>
        <v>3.5928143712574884E-2</v>
      </c>
      <c r="O36" s="157" t="s">
        <v>271</v>
      </c>
    </row>
    <row r="37" spans="1:15" ht="39.6">
      <c r="A37" s="140"/>
      <c r="B37" s="142"/>
      <c r="C37" s="139"/>
      <c r="D37" s="145"/>
      <c r="E37" s="145"/>
      <c r="F37" s="139"/>
      <c r="G37" s="66">
        <v>1.76</v>
      </c>
      <c r="H37" s="66" t="s">
        <v>200</v>
      </c>
      <c r="I37" s="66" t="s">
        <v>272</v>
      </c>
      <c r="J37" s="66" t="s">
        <v>273</v>
      </c>
      <c r="K37" s="156"/>
      <c r="L37" s="156"/>
      <c r="M37" s="156"/>
      <c r="N37" s="61">
        <f>(((G37+G38)/2)-G36)/(G36)</f>
        <v>8.8235294117646485E-3</v>
      </c>
      <c r="O37" s="158"/>
    </row>
    <row r="38" spans="1:15" ht="26.4">
      <c r="A38" s="140"/>
      <c r="B38" s="143"/>
      <c r="C38" s="139"/>
      <c r="D38" s="146"/>
      <c r="E38" s="146"/>
      <c r="F38" s="139"/>
      <c r="G38" s="58">
        <v>1.67</v>
      </c>
      <c r="H38" s="58" t="s">
        <v>200</v>
      </c>
      <c r="I38" s="58" t="s">
        <v>274</v>
      </c>
      <c r="J38" s="58" t="s">
        <v>275</v>
      </c>
      <c r="K38" s="156"/>
      <c r="L38" s="156"/>
      <c r="M38" s="156"/>
      <c r="N38" s="61">
        <f>(((G36+G38)/2)-G37)/(G37)</f>
        <v>-4.261363636363634E-2</v>
      </c>
      <c r="O38" s="159"/>
    </row>
    <row r="39" spans="1:15" ht="39.6">
      <c r="A39" s="139">
        <v>10</v>
      </c>
      <c r="B39" s="141" t="s">
        <v>276</v>
      </c>
      <c r="C39" s="139" t="s">
        <v>277</v>
      </c>
      <c r="D39" s="144" t="s">
        <v>252</v>
      </c>
      <c r="E39" s="144">
        <v>2</v>
      </c>
      <c r="F39" s="139">
        <f>IF($D39="MENSAL",E39*12,IF($D39="ANUAL",E39,IF($D39="SEMESTRAL",E39*2,IF($D39="TRIMESTRAL",E39*4,IF($D39="BIENAL",E39/2,0)))))</f>
        <v>8</v>
      </c>
      <c r="G39" s="58">
        <v>9</v>
      </c>
      <c r="H39" s="58" t="s">
        <v>200</v>
      </c>
      <c r="I39" s="58" t="s">
        <v>278</v>
      </c>
      <c r="J39" s="58" t="s">
        <v>279</v>
      </c>
      <c r="K39" s="156">
        <f>AVERAGE(G39:G41)</f>
        <v>8.6666666666666661</v>
      </c>
      <c r="L39" s="156">
        <f>K39*E39</f>
        <v>17.333333333333332</v>
      </c>
      <c r="M39" s="156">
        <f>K39*F39</f>
        <v>69.333333333333329</v>
      </c>
      <c r="N39" s="61">
        <f>(((G39+G40)/2)-G41)/(G41)</f>
        <v>2.9411764705882353E-2</v>
      </c>
      <c r="O39" s="157" t="s">
        <v>280</v>
      </c>
    </row>
    <row r="40" spans="1:15" ht="39.6">
      <c r="A40" s="140"/>
      <c r="B40" s="142"/>
      <c r="C40" s="139"/>
      <c r="D40" s="145"/>
      <c r="E40" s="145"/>
      <c r="F40" s="139"/>
      <c r="G40" s="58">
        <v>8.5</v>
      </c>
      <c r="H40" s="58" t="s">
        <v>200</v>
      </c>
      <c r="I40" s="58" t="s">
        <v>281</v>
      </c>
      <c r="J40" s="58" t="s">
        <v>282</v>
      </c>
      <c r="K40" s="156"/>
      <c r="L40" s="156"/>
      <c r="M40" s="156"/>
      <c r="N40" s="61">
        <f>(((G40+G41)/2)-G39)/(G39)</f>
        <v>-5.5555555555555552E-2</v>
      </c>
      <c r="O40" s="158"/>
    </row>
    <row r="41" spans="1:15" ht="39.6">
      <c r="A41" s="140"/>
      <c r="B41" s="143"/>
      <c r="C41" s="139"/>
      <c r="D41" s="146"/>
      <c r="E41" s="146"/>
      <c r="F41" s="139"/>
      <c r="G41" s="58">
        <v>8.5</v>
      </c>
      <c r="H41" s="58" t="s">
        <v>200</v>
      </c>
      <c r="I41" s="58" t="s">
        <v>283</v>
      </c>
      <c r="J41" s="58" t="s">
        <v>284</v>
      </c>
      <c r="K41" s="156"/>
      <c r="L41" s="156"/>
      <c r="M41" s="156"/>
      <c r="N41" s="61">
        <f>(((G39+G41)/2)-G40)/(G40)</f>
        <v>2.9411764705882353E-2</v>
      </c>
      <c r="O41" s="159"/>
    </row>
    <row r="42" spans="1:15" ht="39.6">
      <c r="A42" s="139">
        <v>11</v>
      </c>
      <c r="B42" s="141" t="s">
        <v>285</v>
      </c>
      <c r="C42" s="139" t="s">
        <v>224</v>
      </c>
      <c r="D42" s="144" t="s">
        <v>252</v>
      </c>
      <c r="E42" s="144">
        <v>2</v>
      </c>
      <c r="F42" s="139">
        <f>IF($D42="MENSAL",E42*12,IF($D42="ANUAL",E42,IF($D42="SEMESTRAL",E42*2,IF($D42="TRIMESTRAL",E42*4,IF($D42="BIENAL",E42/2,0)))))</f>
        <v>8</v>
      </c>
      <c r="G42" s="66">
        <v>6.75</v>
      </c>
      <c r="H42" s="66" t="s">
        <v>200</v>
      </c>
      <c r="I42" s="67" t="s">
        <v>286</v>
      </c>
      <c r="J42" s="66" t="s">
        <v>287</v>
      </c>
      <c r="K42" s="156">
        <f>AVERAGE(G42:G44)</f>
        <v>6.7266666666666666</v>
      </c>
      <c r="L42" s="156">
        <f>K42*E42</f>
        <v>13.453333333333333</v>
      </c>
      <c r="M42" s="156">
        <f>K42*F42</f>
        <v>53.813333333333333</v>
      </c>
      <c r="N42" s="61">
        <f>(((G42+G43)/2)-G44)/(G44)</f>
        <v>-2.2693997071742349E-2</v>
      </c>
      <c r="O42" s="157" t="s">
        <v>288</v>
      </c>
    </row>
    <row r="43" spans="1:15" ht="26.4">
      <c r="A43" s="140"/>
      <c r="B43" s="142"/>
      <c r="C43" s="139"/>
      <c r="D43" s="145"/>
      <c r="E43" s="145"/>
      <c r="F43" s="139"/>
      <c r="G43" s="66">
        <v>6.6</v>
      </c>
      <c r="H43" s="66" t="s">
        <v>200</v>
      </c>
      <c r="I43" s="67" t="s">
        <v>289</v>
      </c>
      <c r="J43" s="66" t="s">
        <v>290</v>
      </c>
      <c r="K43" s="156"/>
      <c r="L43" s="156"/>
      <c r="M43" s="156"/>
      <c r="N43" s="61">
        <f>(((G43+G44)/2)-G42)/(G42)</f>
        <v>-5.1851851851852059E-3</v>
      </c>
      <c r="O43" s="158"/>
    </row>
    <row r="44" spans="1:15" ht="26.4">
      <c r="A44" s="140"/>
      <c r="B44" s="143"/>
      <c r="C44" s="139"/>
      <c r="D44" s="146"/>
      <c r="E44" s="146"/>
      <c r="F44" s="139"/>
      <c r="G44" s="66">
        <v>6.83</v>
      </c>
      <c r="H44" s="66" t="s">
        <v>200</v>
      </c>
      <c r="I44" s="67" t="s">
        <v>291</v>
      </c>
      <c r="J44" s="66" t="s">
        <v>292</v>
      </c>
      <c r="K44" s="156"/>
      <c r="L44" s="156"/>
      <c r="M44" s="156"/>
      <c r="N44" s="61">
        <f>(((G42+G44)/2)-G43)/(G43)</f>
        <v>2.8787878787878848E-2</v>
      </c>
      <c r="O44" s="159"/>
    </row>
    <row r="45" spans="1:15" ht="18">
      <c r="A45" s="75" t="s">
        <v>293</v>
      </c>
      <c r="B45" s="76"/>
      <c r="C45" s="77"/>
      <c r="D45" s="77"/>
      <c r="E45" s="77"/>
      <c r="F45" s="77"/>
      <c r="G45" s="77"/>
      <c r="H45" s="77"/>
      <c r="I45" s="77"/>
      <c r="J45" s="78"/>
      <c r="K45" s="79"/>
      <c r="L45" s="79"/>
      <c r="M45" s="80">
        <f>SUM(M30:M44)</f>
        <v>796.30666666666662</v>
      </c>
      <c r="N45" s="81"/>
      <c r="O45" s="3"/>
    </row>
    <row r="46" spans="1:15" ht="18">
      <c r="A46" s="75" t="s">
        <v>294</v>
      </c>
      <c r="B46" s="76"/>
      <c r="C46" s="77"/>
      <c r="D46" s="77"/>
      <c r="E46" s="77"/>
      <c r="F46" s="77"/>
      <c r="G46" s="77"/>
      <c r="H46" s="77"/>
      <c r="I46" s="77"/>
      <c r="J46" s="82">
        <f>M45/12</f>
        <v>66.358888888888885</v>
      </c>
      <c r="K46" s="83"/>
      <c r="L46" s="84"/>
      <c r="M46" s="84"/>
      <c r="N46" s="85"/>
    </row>
  </sheetData>
  <mergeCells count="118">
    <mergeCell ref="O36:O38"/>
    <mergeCell ref="A39:A41"/>
    <mergeCell ref="B39:B41"/>
    <mergeCell ref="C39:C41"/>
    <mergeCell ref="D39:D41"/>
    <mergeCell ref="E39:E41"/>
    <mergeCell ref="F39:F41"/>
    <mergeCell ref="K42:K44"/>
    <mergeCell ref="L42:L44"/>
    <mergeCell ref="M42:M44"/>
    <mergeCell ref="O42:O44"/>
    <mergeCell ref="K39:K41"/>
    <mergeCell ref="L39:L41"/>
    <mergeCell ref="M39:M41"/>
    <mergeCell ref="O39:O41"/>
    <mergeCell ref="A42:A44"/>
    <mergeCell ref="B42:B44"/>
    <mergeCell ref="C42:C44"/>
    <mergeCell ref="D42:D44"/>
    <mergeCell ref="E42:E44"/>
    <mergeCell ref="F42:F44"/>
    <mergeCell ref="A36:A38"/>
    <mergeCell ref="B36:B38"/>
    <mergeCell ref="C36:C38"/>
    <mergeCell ref="D36:D38"/>
    <mergeCell ref="E36:E38"/>
    <mergeCell ref="F36:F38"/>
    <mergeCell ref="K36:K38"/>
    <mergeCell ref="L36:L38"/>
    <mergeCell ref="M36:M38"/>
    <mergeCell ref="K30:K32"/>
    <mergeCell ref="L30:L32"/>
    <mergeCell ref="M30:M32"/>
    <mergeCell ref="O30:O32"/>
    <mergeCell ref="A33:A35"/>
    <mergeCell ref="B33:B35"/>
    <mergeCell ref="C33:C35"/>
    <mergeCell ref="D33:D35"/>
    <mergeCell ref="E33:E35"/>
    <mergeCell ref="F33:F35"/>
    <mergeCell ref="A30:A32"/>
    <mergeCell ref="B30:B32"/>
    <mergeCell ref="C30:C32"/>
    <mergeCell ref="D30:D32"/>
    <mergeCell ref="E30:E32"/>
    <mergeCell ref="F30:F32"/>
    <mergeCell ref="K33:K35"/>
    <mergeCell ref="L33:L35"/>
    <mergeCell ref="M33:M35"/>
    <mergeCell ref="O33:O35"/>
    <mergeCell ref="A27:L27"/>
    <mergeCell ref="A28:L28"/>
    <mergeCell ref="K21:K23"/>
    <mergeCell ref="L21:L23"/>
    <mergeCell ref="M21:M23"/>
    <mergeCell ref="O21:O23"/>
    <mergeCell ref="A24:A26"/>
    <mergeCell ref="B24:B26"/>
    <mergeCell ref="C24:C26"/>
    <mergeCell ref="D24:D26"/>
    <mergeCell ref="E24:E26"/>
    <mergeCell ref="F24:F26"/>
    <mergeCell ref="O18:O20"/>
    <mergeCell ref="A21:A23"/>
    <mergeCell ref="B21:B23"/>
    <mergeCell ref="C21:C23"/>
    <mergeCell ref="D21:D23"/>
    <mergeCell ref="E21:E23"/>
    <mergeCell ref="F21:F23"/>
    <mergeCell ref="K24:K26"/>
    <mergeCell ref="L24:L26"/>
    <mergeCell ref="M24:M26"/>
    <mergeCell ref="O24:O26"/>
    <mergeCell ref="A18:A20"/>
    <mergeCell ref="B18:B20"/>
    <mergeCell ref="C18:C20"/>
    <mergeCell ref="D18:D20"/>
    <mergeCell ref="E18:E20"/>
    <mergeCell ref="F18:F20"/>
    <mergeCell ref="K18:K20"/>
    <mergeCell ref="L18:L20"/>
    <mergeCell ref="M18:M20"/>
    <mergeCell ref="K12:K14"/>
    <mergeCell ref="L12:L14"/>
    <mergeCell ref="M12:M14"/>
    <mergeCell ref="O12:O14"/>
    <mergeCell ref="A15:A17"/>
    <mergeCell ref="B15:B17"/>
    <mergeCell ref="C15:C17"/>
    <mergeCell ref="D15:D17"/>
    <mergeCell ref="E15:E17"/>
    <mergeCell ref="F15:F17"/>
    <mergeCell ref="K15:K17"/>
    <mergeCell ref="L15:L17"/>
    <mergeCell ref="M15:M17"/>
    <mergeCell ref="O15:O17"/>
    <mergeCell ref="A12:A14"/>
    <mergeCell ref="B12:B14"/>
    <mergeCell ref="C12:C14"/>
    <mergeCell ref="D12:D14"/>
    <mergeCell ref="E12:E14"/>
    <mergeCell ref="F12:F14"/>
    <mergeCell ref="A9:A11"/>
    <mergeCell ref="B9:B11"/>
    <mergeCell ref="C9:C11"/>
    <mergeCell ref="D9:D11"/>
    <mergeCell ref="E9:E11"/>
    <mergeCell ref="F9:F11"/>
    <mergeCell ref="A1:O1"/>
    <mergeCell ref="A2:O2"/>
    <mergeCell ref="A3:O3"/>
    <mergeCell ref="A4:O4"/>
    <mergeCell ref="A5:O6"/>
    <mergeCell ref="A7:O7"/>
    <mergeCell ref="K9:K11"/>
    <mergeCell ref="L9:L11"/>
    <mergeCell ref="M9:M11"/>
    <mergeCell ref="O9:O11"/>
  </mergeCells>
  <conditionalFormatting sqref="N1:N4">
    <cfRule type="cellIs" dxfId="3" priority="15" operator="lessThan">
      <formula>-0.3</formula>
    </cfRule>
  </conditionalFormatting>
  <conditionalFormatting sqref="N9:N44">
    <cfRule type="cellIs" dxfId="2" priority="1" operator="lessThan">
      <formula>-0.3</formula>
    </cfRule>
    <cfRule type="cellIs" dxfId="1" priority="2" operator="greaterThan">
      <formula>30%</formula>
    </cfRule>
  </conditionalFormatting>
  <conditionalFormatting sqref="N46">
    <cfRule type="cellIs" dxfId="0" priority="17" operator="lessThan">
      <formula>-0.3</formula>
    </cfRule>
  </conditionalFormatting>
  <pageMargins left="0.25" right="0.25" top="0.75" bottom="0.75" header="0.3" footer="0.3"/>
  <pageSetup paperSize="9" scale="3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889847F0F07794CB4B5B9ED7196E3FA" ma:contentTypeVersion="3" ma:contentTypeDescription="Crie um novo documento." ma:contentTypeScope="" ma:versionID="909893303f1b515e53d3312653fd7205">
  <xsd:schema xmlns:xsd="http://www.w3.org/2001/XMLSchema" xmlns:xs="http://www.w3.org/2001/XMLSchema" xmlns:p="http://schemas.microsoft.com/office/2006/metadata/properties" xmlns:ns2="6d9fd1bc-3e45-4e61-989c-c1400a4cb535" targetNamespace="http://schemas.microsoft.com/office/2006/metadata/properties" ma:root="true" ma:fieldsID="11c6749056cf4e2297f45697a769c4c8" ns2:_="">
    <xsd:import namespace="6d9fd1bc-3e45-4e61-989c-c1400a4cb5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fd1bc-3e45-4e61-989c-c1400a4cb5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6D2FC1-D4C8-469A-B409-B1DDD18F6A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7E3943-94D2-4598-B8A6-EB041E29FB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9fd1bc-3e45-4e61-989c-c1400a4cb5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B6F7B4-346B-48DF-A10F-FB647613A908}">
  <ds:schemaRefs>
    <ds:schemaRef ds:uri="http://purl.org/dc/dcmitype/"/>
    <ds:schemaRef ds:uri="http://purl.org/dc/elements/1.1/"/>
    <ds:schemaRef ds:uri="http://www.w3.org/XML/1998/namespace"/>
    <ds:schemaRef ds:uri="http://purl.org/dc/terms/"/>
    <ds:schemaRef ds:uri="6d9fd1bc-3e45-4e61-989c-c1400a4cb5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Auxiliar de saúde Nova Cruz</vt:lpstr>
      <vt:lpstr>Quantidade de Serventes</vt:lpstr>
      <vt:lpstr>INSUMOS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Sueldo Junior</cp:lastModifiedBy>
  <cp:revision/>
  <cp:lastPrinted>2024-04-15T17:35:55Z</cp:lastPrinted>
  <dcterms:created xsi:type="dcterms:W3CDTF">2010-12-08T17:56:00Z</dcterms:created>
  <dcterms:modified xsi:type="dcterms:W3CDTF">2024-05-29T16:52:19Z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1046-10.2.0.7516</vt:lpwstr>
  </property>
  <property fmtid="{D5CDD505-2E9C-101B-9397-08002B2CF9AE}" pid="3" name="ContentTypeId">
    <vt:lpwstr>0x0101008889847F0F07794CB4B5B9ED7196E3FA</vt:lpwstr>
  </property>
  <property fmtid="{D5CDD505-2E9C-101B-9397-08002B2CF9AE}" pid="4" name="MediaServiceImageTags">
    <vt:lpwstr/>
  </property>
</Properties>
</file>