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academicoifrnedu-my.sharepoint.com/personal/tereza_catrina_academico_ifrn_edu_br/Documents/3. ENGENHARIA/2023/SPDA/"/>
    </mc:Choice>
  </mc:AlternateContent>
  <xr:revisionPtr revIDLastSave="45" documentId="13_ncr:1_{7768CDD6-ED0B-492F-BD54-8471A5990996}" xr6:coauthVersionLast="47" xr6:coauthVersionMax="47" xr10:uidLastSave="{07DC7849-53B0-47AC-8088-4FB4140CC51B}"/>
  <bookViews>
    <workbookView xWindow="-120" yWindow="-120" windowWidth="20730" windowHeight="11040" tabRatio="805" activeTab="1" xr2:uid="{00000000-000D-0000-FFFF-FFFF00000000}"/>
  </bookViews>
  <sheets>
    <sheet name="ORÇAMENTO (2)" sheetId="21" r:id="rId1"/>
    <sheet name="ORÇAMENTO" sheetId="19" r:id="rId2"/>
    <sheet name="MEMÓRIA CALC 2" sheetId="11" r:id="rId3"/>
    <sheet name="RASCUNHO QUANT" sheetId="16" r:id="rId4"/>
    <sheet name="COMPOSIÇÕES (2)" sheetId="12" r:id="rId5"/>
    <sheet name="CRONOGRAMA (2)" sheetId="14" r:id="rId6"/>
    <sheet name="BDI DESONERADO" sheetId="13" r:id="rId7"/>
    <sheet name="BDI NÃO DESONERADO" sheetId="18" r:id="rId8"/>
  </sheets>
  <externalReferences>
    <externalReference r:id="rId9"/>
  </externalReferences>
  <definedNames>
    <definedName name="_0" localSheetId="6">#REF!</definedName>
    <definedName name="_0" localSheetId="7">#REF!</definedName>
    <definedName name="_0" localSheetId="4">#REF!</definedName>
    <definedName name="_0" localSheetId="5">#REF!</definedName>
    <definedName name="_0" localSheetId="1">#REF!</definedName>
    <definedName name="_0" localSheetId="0">#REF!</definedName>
    <definedName name="_0">#REF!</definedName>
    <definedName name="_xlnm._FilterDatabase" localSheetId="3" hidden="1">'RASCUNHO QUANT'!$B$2:$G$52</definedName>
    <definedName name="_xlnm.Print_Area" localSheetId="6">'BDI DESONERADO'!$A$1:$H$42</definedName>
    <definedName name="_xlnm.Print_Area" localSheetId="7">'BDI NÃO DESONERADO'!$A$1:$H$42</definedName>
    <definedName name="_xlnm.Print_Area" localSheetId="4">'COMPOSIÇÕES (2)'!$A$1:$J$35</definedName>
    <definedName name="_xlnm.Print_Area" localSheetId="5">'CRONOGRAMA (2)'!$A$1:$M$30</definedName>
    <definedName name="_xlnm.Print_Area" localSheetId="2">'MEMÓRIA CALC 2'!$A$1:$K$72</definedName>
    <definedName name="_xlnm.Print_Area" localSheetId="1">ORÇAMENTO!$A$1:$L$90</definedName>
    <definedName name="_xlnm.Print_Area" localSheetId="0">'ORÇAMENTO (2)'!$A$1:$I$89</definedName>
    <definedName name="COMP_ATUAL" localSheetId="7">[1]Comp!#REF!</definedName>
    <definedName name="COMP_ATUAL" localSheetId="1">[1]Comp!#REF!</definedName>
    <definedName name="COMP_ATUAL" localSheetId="0">[1]Comp!#REF!</definedName>
    <definedName name="COMP_ATUAL">[1]Comp!#REF!</definedName>
    <definedName name="COTAÇÕES" localSheetId="6">#REF!</definedName>
    <definedName name="COTAÇÕES" localSheetId="7">#REF!</definedName>
    <definedName name="COTAÇÕES" localSheetId="4">#REF!</definedName>
    <definedName name="COTAÇÕES" localSheetId="5">#REF!</definedName>
    <definedName name="COTAÇÕES" localSheetId="2">#REF!</definedName>
    <definedName name="COTAÇÕES" localSheetId="1">#REF!</definedName>
    <definedName name="COTAÇÕES" localSheetId="0">#REF!</definedName>
    <definedName name="COTAÇÕES">#REF!</definedName>
    <definedName name="D" localSheetId="1">#REF!</definedName>
    <definedName name="D" localSheetId="0">#REF!</definedName>
    <definedName name="D">#REF!</definedName>
    <definedName name="Excel_BuiltIn_Print_Area_1" localSheetId="6">#REF!</definedName>
    <definedName name="Excel_BuiltIn_Print_Area_1" localSheetId="7">#REF!</definedName>
    <definedName name="Excel_BuiltIn_Print_Area_1" localSheetId="4">#REF!</definedName>
    <definedName name="Excel_BuiltIn_Print_Area_1" localSheetId="5">#REF!</definedName>
    <definedName name="Excel_BuiltIn_Print_Area_1" localSheetId="2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TESTE" localSheetId="7">#REF!</definedName>
    <definedName name="TESTE" localSheetId="1">#REF!</definedName>
    <definedName name="TESTE" localSheetId="0">#REF!</definedName>
    <definedName name="TESTE">#REF!</definedName>
    <definedName name="_xlnm.Print_Titles" localSheetId="4">'COMPOSIÇÕES (2)'!$1:$7</definedName>
    <definedName name="_xlnm.Print_Titles" localSheetId="5">'CRONOGRAMA (2)'!$1:$6</definedName>
    <definedName name="_xlnm.Print_Titles" localSheetId="2">'MEMÓRIA CALC 2'!$1:$8</definedName>
    <definedName name="_xlnm.Print_Titles" localSheetId="1">ORÇAMENTO!$1:$11</definedName>
    <definedName name="_xlnm.Print_Titles" localSheetId="0">'ORÇAMENTO (2)'!$1:$11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4" l="1"/>
  <c r="H27" i="14"/>
  <c r="I27" i="14" s="1"/>
  <c r="J27" i="14" s="1"/>
  <c r="K27" i="14" s="1"/>
  <c r="F27" i="14"/>
  <c r="F25" i="14"/>
  <c r="G25" i="14"/>
  <c r="H25" i="14"/>
  <c r="I25" i="14"/>
  <c r="J25" i="14"/>
  <c r="K25" i="14"/>
  <c r="E25" i="14"/>
  <c r="K21" i="14"/>
  <c r="L21" i="14" s="1"/>
  <c r="K23" i="14"/>
  <c r="L22" i="14"/>
  <c r="L23" i="14"/>
  <c r="L24" i="14"/>
  <c r="E44" i="21"/>
  <c r="E46" i="21"/>
  <c r="E47" i="21"/>
  <c r="E48" i="21"/>
  <c r="E51" i="21"/>
  <c r="E53" i="21"/>
  <c r="E57" i="21"/>
  <c r="E58" i="21"/>
  <c r="E59" i="21"/>
  <c r="E60" i="21"/>
  <c r="E61" i="21"/>
  <c r="E62" i="21"/>
  <c r="E37" i="21"/>
  <c r="E52" i="19"/>
  <c r="E52" i="21" s="1"/>
  <c r="E55" i="19"/>
  <c r="E55" i="21" s="1"/>
  <c r="E53" i="19"/>
  <c r="E37" i="19"/>
  <c r="E38" i="19"/>
  <c r="E38" i="21" s="1"/>
  <c r="E50" i="19"/>
  <c r="E50" i="21" s="1"/>
  <c r="F15" i="21"/>
  <c r="G15" i="21" s="1"/>
  <c r="H15" i="21" s="1"/>
  <c r="G74" i="21"/>
  <c r="E74" i="21"/>
  <c r="G72" i="21"/>
  <c r="E72" i="21"/>
  <c r="G70" i="21"/>
  <c r="G69" i="21"/>
  <c r="G68" i="21"/>
  <c r="E68" i="21"/>
  <c r="G67" i="21"/>
  <c r="G66" i="21"/>
  <c r="G65" i="21"/>
  <c r="G64" i="21"/>
  <c r="G62" i="21"/>
  <c r="H62" i="21" s="1"/>
  <c r="C61" i="21"/>
  <c r="G60" i="21"/>
  <c r="H60" i="21" s="1"/>
  <c r="G59" i="21"/>
  <c r="H59" i="21" s="1"/>
  <c r="G58" i="21"/>
  <c r="G57" i="21"/>
  <c r="H57" i="21" s="1"/>
  <c r="G56" i="21"/>
  <c r="G55" i="21"/>
  <c r="G54" i="21"/>
  <c r="G53" i="21"/>
  <c r="G52" i="21"/>
  <c r="G51" i="21"/>
  <c r="H51" i="21" s="1"/>
  <c r="G50" i="21"/>
  <c r="G49" i="21"/>
  <c r="G48" i="21"/>
  <c r="H48" i="21" s="1"/>
  <c r="G47" i="21"/>
  <c r="H47" i="21" s="1"/>
  <c r="G46" i="21"/>
  <c r="G45" i="21"/>
  <c r="G44" i="21"/>
  <c r="H44" i="21" s="1"/>
  <c r="G43" i="21"/>
  <c r="G42" i="21"/>
  <c r="G41" i="21"/>
  <c r="G38" i="21"/>
  <c r="G37" i="21"/>
  <c r="G35" i="21"/>
  <c r="H35" i="21" s="1"/>
  <c r="G34" i="21"/>
  <c r="E34" i="21"/>
  <c r="G32" i="21"/>
  <c r="E32" i="21"/>
  <c r="G31" i="21"/>
  <c r="E31" i="21"/>
  <c r="G29" i="21"/>
  <c r="E29" i="21"/>
  <c r="G28" i="21"/>
  <c r="G27" i="21"/>
  <c r="G25" i="21"/>
  <c r="G24" i="21"/>
  <c r="G23" i="21"/>
  <c r="G22" i="21"/>
  <c r="G21" i="21"/>
  <c r="G20" i="21"/>
  <c r="H20" i="21" s="1"/>
  <c r="G19" i="21"/>
  <c r="E19" i="21"/>
  <c r="G18" i="21"/>
  <c r="E18" i="21"/>
  <c r="G17" i="21"/>
  <c r="G13" i="21"/>
  <c r="E13" i="21"/>
  <c r="H52" i="21" l="1"/>
  <c r="H46" i="21"/>
  <c r="H58" i="21"/>
  <c r="H31" i="21"/>
  <c r="H32" i="21"/>
  <c r="H30" i="21" s="1"/>
  <c r="H13" i="21"/>
  <c r="H53" i="21"/>
  <c r="H18" i="21"/>
  <c r="H37" i="21"/>
  <c r="H50" i="21"/>
  <c r="H55" i="21"/>
  <c r="H68" i="21"/>
  <c r="H72" i="21"/>
  <c r="H34" i="21"/>
  <c r="H74" i="21"/>
  <c r="H19" i="21"/>
  <c r="H38" i="21"/>
  <c r="H43" i="21"/>
  <c r="H29" i="21"/>
  <c r="E49" i="19"/>
  <c r="E49" i="21" s="1"/>
  <c r="H49" i="21" s="1"/>
  <c r="E43" i="19"/>
  <c r="E43" i="21" s="1"/>
  <c r="E41" i="19"/>
  <c r="E41" i="21" s="1"/>
  <c r="H41" i="21" s="1"/>
  <c r="E40" i="19"/>
  <c r="E40" i="21" s="1"/>
  <c r="E39" i="19"/>
  <c r="E39" i="21" s="1"/>
  <c r="H73" i="21" l="1"/>
  <c r="H71" i="21"/>
  <c r="H33" i="21"/>
  <c r="H12" i="21"/>
  <c r="C23" i="11"/>
  <c r="D22" i="11"/>
  <c r="I45" i="11" l="1"/>
  <c r="J45" i="11"/>
  <c r="B45" i="11"/>
  <c r="F15" i="19" l="1"/>
  <c r="I47" i="19"/>
  <c r="K47" i="19" s="1"/>
  <c r="H47" i="19"/>
  <c r="J47" i="19" s="1"/>
  <c r="E56" i="19" l="1"/>
  <c r="E56" i="21" s="1"/>
  <c r="H56" i="21" s="1"/>
  <c r="E54" i="19"/>
  <c r="E54" i="21" s="1"/>
  <c r="H54" i="21" s="1"/>
  <c r="E45" i="19"/>
  <c r="E45" i="21" s="1"/>
  <c r="H45" i="21" s="1"/>
  <c r="E42" i="19"/>
  <c r="E42" i="21" s="1"/>
  <c r="H42" i="21" s="1"/>
  <c r="I60" i="11" l="1"/>
  <c r="J60" i="11"/>
  <c r="B60" i="11"/>
  <c r="H62" i="19"/>
  <c r="J62" i="19" s="1"/>
  <c r="I62" i="19"/>
  <c r="K62" i="19" s="1"/>
  <c r="J55" i="11"/>
  <c r="J56" i="11"/>
  <c r="J57" i="11"/>
  <c r="J58" i="11"/>
  <c r="J59" i="11"/>
  <c r="I55" i="11"/>
  <c r="I56" i="11"/>
  <c r="I57" i="11"/>
  <c r="I58" i="11"/>
  <c r="I59" i="11"/>
  <c r="B55" i="11"/>
  <c r="B56" i="11"/>
  <c r="B57" i="11"/>
  <c r="B58" i="11"/>
  <c r="C61" i="19"/>
  <c r="B59" i="11" s="1"/>
  <c r="I30" i="12"/>
  <c r="I33" i="12"/>
  <c r="F61" i="21" s="1"/>
  <c r="G61" i="21" s="1"/>
  <c r="H61" i="21" s="1"/>
  <c r="I60" i="19"/>
  <c r="K60" i="19"/>
  <c r="H60" i="19"/>
  <c r="J60" i="19" s="1"/>
  <c r="I59" i="19"/>
  <c r="K59" i="19" s="1"/>
  <c r="H59" i="19"/>
  <c r="J59" i="19"/>
  <c r="I58" i="19"/>
  <c r="K58" i="19" s="1"/>
  <c r="H58" i="19"/>
  <c r="J58" i="19" s="1"/>
  <c r="I57" i="19"/>
  <c r="K57" i="19" s="1"/>
  <c r="H57" i="19"/>
  <c r="J57" i="19" s="1"/>
  <c r="F61" i="19" l="1"/>
  <c r="H61" i="19" s="1"/>
  <c r="J61" i="19" s="1"/>
  <c r="G61" i="19"/>
  <c r="I61" i="19" s="1"/>
  <c r="K61" i="19" s="1"/>
  <c r="L10" i="14"/>
  <c r="L12" i="14"/>
  <c r="L14" i="14"/>
  <c r="L16" i="14"/>
  <c r="L18" i="14"/>
  <c r="L20" i="14"/>
  <c r="L8" i="14"/>
  <c r="C111" i="16"/>
  <c r="C59" i="16"/>
  <c r="F59" i="16" s="1"/>
  <c r="F114" i="16" s="1"/>
  <c r="C60" i="16"/>
  <c r="C115" i="16" s="1"/>
  <c r="F53" i="16"/>
  <c r="F110" i="16" s="1"/>
  <c r="F54" i="16"/>
  <c r="F77" i="16" s="1"/>
  <c r="F56" i="16"/>
  <c r="F57" i="16"/>
  <c r="F112" i="16" s="1"/>
  <c r="F58" i="16"/>
  <c r="F113" i="16" s="1"/>
  <c r="E111" i="16"/>
  <c r="G111" i="16"/>
  <c r="E112" i="16"/>
  <c r="G112" i="16"/>
  <c r="E110" i="16"/>
  <c r="G110" i="16"/>
  <c r="C110" i="16"/>
  <c r="C113" i="16"/>
  <c r="E113" i="16"/>
  <c r="G113" i="16"/>
  <c r="E114" i="16"/>
  <c r="G114" i="16"/>
  <c r="E115" i="16"/>
  <c r="G115" i="16"/>
  <c r="C112" i="16"/>
  <c r="B115" i="16"/>
  <c r="B114" i="16"/>
  <c r="B113" i="16"/>
  <c r="B112" i="16"/>
  <c r="B111" i="16"/>
  <c r="B110" i="16"/>
  <c r="E78" i="16"/>
  <c r="G78" i="16"/>
  <c r="C77" i="16"/>
  <c r="E77" i="16"/>
  <c r="G77" i="16"/>
  <c r="B78" i="16"/>
  <c r="B77" i="16"/>
  <c r="C79" i="16" l="1"/>
  <c r="F55" i="16"/>
  <c r="C114" i="16"/>
  <c r="C116" i="16"/>
  <c r="F60" i="16"/>
  <c r="F115" i="16" s="1"/>
  <c r="I21" i="12"/>
  <c r="H21" i="12"/>
  <c r="C81" i="16" l="1"/>
  <c r="F111" i="16"/>
  <c r="F78" i="16"/>
  <c r="I23" i="11"/>
  <c r="E25" i="21" s="1"/>
  <c r="H25" i="21" s="1"/>
  <c r="J23" i="11"/>
  <c r="J22" i="11"/>
  <c r="I22" i="11"/>
  <c r="E24" i="21" s="1"/>
  <c r="H24" i="21" s="1"/>
  <c r="B22" i="11"/>
  <c r="B23" i="11"/>
  <c r="I25" i="19"/>
  <c r="H25" i="19"/>
  <c r="I24" i="19"/>
  <c r="H24" i="19"/>
  <c r="I46" i="11"/>
  <c r="B46" i="11"/>
  <c r="J40" i="11"/>
  <c r="B40" i="11"/>
  <c r="H48" i="19"/>
  <c r="J48" i="19" s="1"/>
  <c r="I48" i="19"/>
  <c r="K48" i="19" s="1"/>
  <c r="H42" i="19"/>
  <c r="J42" i="19" s="1"/>
  <c r="I42" i="19"/>
  <c r="E24" i="19" l="1"/>
  <c r="J24" i="19" s="1"/>
  <c r="E25" i="19"/>
  <c r="J25" i="19" s="1"/>
  <c r="K42" i="19"/>
  <c r="I40" i="11"/>
  <c r="K24" i="19"/>
  <c r="E13" i="19"/>
  <c r="K25" i="19" l="1"/>
  <c r="B63" i="11"/>
  <c r="B33" i="11"/>
  <c r="I35" i="19"/>
  <c r="K35" i="19" s="1"/>
  <c r="H35" i="19"/>
  <c r="J35" i="19" s="1"/>
  <c r="J72" i="11" l="1"/>
  <c r="B72" i="11"/>
  <c r="B71" i="11"/>
  <c r="B69" i="11"/>
  <c r="B61" i="11"/>
  <c r="B34" i="11"/>
  <c r="B31" i="11"/>
  <c r="B28" i="11"/>
  <c r="J29" i="11"/>
  <c r="J30" i="11"/>
  <c r="J32" i="11"/>
  <c r="J26" i="11"/>
  <c r="J27" i="11"/>
  <c r="J25" i="11"/>
  <c r="B26" i="11"/>
  <c r="B27" i="11"/>
  <c r="B25" i="11"/>
  <c r="B24" i="11"/>
  <c r="J11" i="11"/>
  <c r="B12" i="11"/>
  <c r="B11" i="11"/>
  <c r="B10" i="11"/>
  <c r="B23" i="14"/>
  <c r="B21" i="14"/>
  <c r="B19" i="14"/>
  <c r="B17" i="14"/>
  <c r="B15" i="14"/>
  <c r="B13" i="14"/>
  <c r="B11" i="14"/>
  <c r="B9" i="14"/>
  <c r="B7" i="14"/>
  <c r="G40" i="19"/>
  <c r="G39" i="19"/>
  <c r="E72" i="19"/>
  <c r="E31" i="19"/>
  <c r="E19" i="19"/>
  <c r="E18" i="19"/>
  <c r="I19" i="11"/>
  <c r="E21" i="21" s="1"/>
  <c r="H21" i="21" s="1"/>
  <c r="I64" i="11"/>
  <c r="E66" i="21" s="1"/>
  <c r="H66" i="21" s="1"/>
  <c r="B70" i="11"/>
  <c r="E74" i="19"/>
  <c r="I17" i="19"/>
  <c r="I18" i="19"/>
  <c r="I19" i="19"/>
  <c r="I20" i="19"/>
  <c r="I21" i="19"/>
  <c r="I22" i="19"/>
  <c r="I23" i="19"/>
  <c r="I27" i="19"/>
  <c r="I28" i="19"/>
  <c r="I29" i="19"/>
  <c r="I31" i="19"/>
  <c r="I32" i="19"/>
  <c r="I34" i="19"/>
  <c r="I37" i="19"/>
  <c r="K37" i="19" s="1"/>
  <c r="I38" i="19"/>
  <c r="K38" i="19" s="1"/>
  <c r="I41" i="19"/>
  <c r="K41" i="19" s="1"/>
  <c r="I43" i="19"/>
  <c r="K43" i="19" s="1"/>
  <c r="I44" i="19"/>
  <c r="K44" i="19" s="1"/>
  <c r="I45" i="19"/>
  <c r="K45" i="19" s="1"/>
  <c r="I46" i="19"/>
  <c r="K46" i="19" s="1"/>
  <c r="I49" i="19"/>
  <c r="K49" i="19" s="1"/>
  <c r="I50" i="19"/>
  <c r="K50" i="19" s="1"/>
  <c r="I51" i="19"/>
  <c r="K51" i="19" s="1"/>
  <c r="I52" i="19"/>
  <c r="K52" i="19" s="1"/>
  <c r="I53" i="19"/>
  <c r="K53" i="19" s="1"/>
  <c r="I54" i="19"/>
  <c r="K54" i="19" s="1"/>
  <c r="I55" i="19"/>
  <c r="K55" i="19" s="1"/>
  <c r="I56" i="19"/>
  <c r="K56" i="19" s="1"/>
  <c r="I64" i="19"/>
  <c r="I65" i="19"/>
  <c r="I66" i="19"/>
  <c r="I67" i="19"/>
  <c r="I68" i="19"/>
  <c r="I69" i="19"/>
  <c r="I70" i="19"/>
  <c r="I72" i="19"/>
  <c r="I74" i="19"/>
  <c r="I13" i="19"/>
  <c r="K13" i="19" s="1"/>
  <c r="K12" i="19" s="1"/>
  <c r="C7" i="14" s="1"/>
  <c r="J14" i="11"/>
  <c r="J15" i="11"/>
  <c r="J16" i="11"/>
  <c r="J17" i="11"/>
  <c r="J18" i="11"/>
  <c r="J19" i="11"/>
  <c r="J20" i="11"/>
  <c r="J21" i="11"/>
  <c r="J13" i="11"/>
  <c r="E68" i="19"/>
  <c r="C136" i="16"/>
  <c r="C137" i="16" s="1"/>
  <c r="F137" i="16" s="1"/>
  <c r="C142" i="16" s="1"/>
  <c r="C126" i="16"/>
  <c r="C127" i="16" s="1"/>
  <c r="F127" i="16" s="1"/>
  <c r="C144" i="16" s="1"/>
  <c r="I68" i="11" s="1"/>
  <c r="E70" i="21" s="1"/>
  <c r="H70" i="21" s="1"/>
  <c r="F81" i="16"/>
  <c r="C143" i="16" s="1"/>
  <c r="I63" i="11" s="1"/>
  <c r="E65" i="21" s="1"/>
  <c r="H65" i="21" s="1"/>
  <c r="C80" i="16"/>
  <c r="F80" i="16" s="1"/>
  <c r="C145" i="16" s="1"/>
  <c r="I65" i="11" s="1"/>
  <c r="E67" i="21" s="1"/>
  <c r="H67" i="21" s="1"/>
  <c r="F116" i="16"/>
  <c r="F79" i="16"/>
  <c r="F25" i="16"/>
  <c r="C51" i="16"/>
  <c r="F51" i="16" s="1"/>
  <c r="C50" i="16"/>
  <c r="F50" i="16" s="1"/>
  <c r="C49" i="16"/>
  <c r="F49" i="16" s="1"/>
  <c r="C47" i="16"/>
  <c r="F47" i="16" s="1"/>
  <c r="C43" i="16"/>
  <c r="F43" i="16" s="1"/>
  <c r="C41" i="16"/>
  <c r="F41" i="16" s="1"/>
  <c r="C38" i="16"/>
  <c r="F38" i="16" s="1"/>
  <c r="C40" i="16"/>
  <c r="F40" i="16" s="1"/>
  <c r="C39" i="16"/>
  <c r="F39" i="16" s="1"/>
  <c r="C30" i="16"/>
  <c r="F30" i="16" s="1"/>
  <c r="C33" i="16"/>
  <c r="F33" i="16" s="1"/>
  <c r="F52" i="16"/>
  <c r="F48" i="16"/>
  <c r="F46" i="16"/>
  <c r="F45" i="16"/>
  <c r="F44" i="16"/>
  <c r="F42" i="16"/>
  <c r="F37" i="16"/>
  <c r="F36" i="16"/>
  <c r="F35" i="16"/>
  <c r="F34" i="16"/>
  <c r="F32" i="16"/>
  <c r="F31" i="16"/>
  <c r="F29" i="16"/>
  <c r="J62" i="11"/>
  <c r="J63" i="11"/>
  <c r="J64" i="11"/>
  <c r="J65" i="11"/>
  <c r="J67" i="11"/>
  <c r="J68" i="11"/>
  <c r="B62" i="11"/>
  <c r="B64" i="11"/>
  <c r="B65" i="11"/>
  <c r="B66" i="11"/>
  <c r="B67" i="11"/>
  <c r="B68" i="11"/>
  <c r="I36" i="11"/>
  <c r="I37" i="11"/>
  <c r="I38" i="11"/>
  <c r="I39" i="11"/>
  <c r="I41" i="11"/>
  <c r="I42" i="11"/>
  <c r="I43" i="11"/>
  <c r="I44" i="11"/>
  <c r="I47" i="11"/>
  <c r="I48" i="11"/>
  <c r="I49" i="11"/>
  <c r="I50" i="11"/>
  <c r="I51" i="11"/>
  <c r="I52" i="11"/>
  <c r="I53" i="11"/>
  <c r="I54" i="11"/>
  <c r="I35" i="11"/>
  <c r="J36" i="11"/>
  <c r="J37" i="11"/>
  <c r="J38" i="11"/>
  <c r="J39" i="11"/>
  <c r="J41" i="11"/>
  <c r="J42" i="11"/>
  <c r="J43" i="11"/>
  <c r="J44" i="11"/>
  <c r="J47" i="11"/>
  <c r="J48" i="11"/>
  <c r="J49" i="11"/>
  <c r="J50" i="11"/>
  <c r="J51" i="11"/>
  <c r="J52" i="11"/>
  <c r="J53" i="11"/>
  <c r="J54" i="11"/>
  <c r="J35" i="11"/>
  <c r="B54" i="11"/>
  <c r="B36" i="11"/>
  <c r="B37" i="11"/>
  <c r="B38" i="11"/>
  <c r="B39" i="11"/>
  <c r="B41" i="11"/>
  <c r="B42" i="11"/>
  <c r="B43" i="11"/>
  <c r="B44" i="11"/>
  <c r="B47" i="11"/>
  <c r="B48" i="11"/>
  <c r="B49" i="11"/>
  <c r="B50" i="11"/>
  <c r="B51" i="11"/>
  <c r="B52" i="11"/>
  <c r="B53" i="11"/>
  <c r="B35" i="11"/>
  <c r="B32" i="11"/>
  <c r="B30" i="11"/>
  <c r="B29" i="11"/>
  <c r="B14" i="11"/>
  <c r="B15" i="11"/>
  <c r="B16" i="11"/>
  <c r="B17" i="11"/>
  <c r="B18" i="11"/>
  <c r="B19" i="11"/>
  <c r="B20" i="11"/>
  <c r="B21" i="11"/>
  <c r="B13" i="11"/>
  <c r="I20" i="12"/>
  <c r="H20" i="12"/>
  <c r="H38" i="19"/>
  <c r="J38" i="19" s="1"/>
  <c r="H39" i="19"/>
  <c r="J39" i="19" s="1"/>
  <c r="H40" i="19"/>
  <c r="J40" i="19" s="1"/>
  <c r="H41" i="19"/>
  <c r="J41" i="19" s="1"/>
  <c r="H43" i="19"/>
  <c r="J43" i="19" s="1"/>
  <c r="H44" i="19"/>
  <c r="J44" i="19" s="1"/>
  <c r="H45" i="19"/>
  <c r="J45" i="19" s="1"/>
  <c r="H46" i="19"/>
  <c r="J46" i="19" s="1"/>
  <c r="H49" i="19"/>
  <c r="J49" i="19" s="1"/>
  <c r="H50" i="19"/>
  <c r="J50" i="19" s="1"/>
  <c r="H51" i="19"/>
  <c r="J51" i="19" s="1"/>
  <c r="H52" i="19"/>
  <c r="J52" i="19" s="1"/>
  <c r="H53" i="19"/>
  <c r="J53" i="19" s="1"/>
  <c r="H54" i="19"/>
  <c r="J54" i="19" s="1"/>
  <c r="H55" i="19"/>
  <c r="J55" i="19" s="1"/>
  <c r="H56" i="19"/>
  <c r="J56" i="19" s="1"/>
  <c r="H37" i="19"/>
  <c r="J37" i="19" s="1"/>
  <c r="H65" i="19"/>
  <c r="H66" i="19"/>
  <c r="H67" i="19"/>
  <c r="H68" i="19"/>
  <c r="H69" i="19"/>
  <c r="H70" i="19"/>
  <c r="H23" i="19"/>
  <c r="H22" i="19"/>
  <c r="I40" i="19" l="1"/>
  <c r="K40" i="19" s="1"/>
  <c r="F40" i="21"/>
  <c r="G40" i="21" s="1"/>
  <c r="H40" i="21" s="1"/>
  <c r="I39" i="19"/>
  <c r="K39" i="19" s="1"/>
  <c r="K36" i="19" s="1"/>
  <c r="C17" i="14" s="1"/>
  <c r="F39" i="21"/>
  <c r="G39" i="21" s="1"/>
  <c r="H39" i="21" s="1"/>
  <c r="E66" i="19"/>
  <c r="E21" i="19"/>
  <c r="E70" i="19"/>
  <c r="K70" i="19" s="1"/>
  <c r="E67" i="19"/>
  <c r="J67" i="19" s="1"/>
  <c r="J36" i="19"/>
  <c r="F126" i="16"/>
  <c r="F136" i="16"/>
  <c r="K74" i="19"/>
  <c r="K73" i="19" s="1"/>
  <c r="C23" i="14" s="1"/>
  <c r="K68" i="19"/>
  <c r="I62" i="11"/>
  <c r="E64" i="21" s="1"/>
  <c r="H64" i="21" s="1"/>
  <c r="I20" i="11"/>
  <c r="E22" i="21" s="1"/>
  <c r="H22" i="21" s="1"/>
  <c r="I67" i="11"/>
  <c r="E69" i="21" s="1"/>
  <c r="H69" i="21" s="1"/>
  <c r="E65" i="19"/>
  <c r="K65" i="19" s="1"/>
  <c r="G143" i="16"/>
  <c r="I21" i="11" s="1"/>
  <c r="E23" i="21" s="1"/>
  <c r="H23" i="21" s="1"/>
  <c r="J7" i="14"/>
  <c r="K7" i="14"/>
  <c r="K66" i="19"/>
  <c r="K21" i="19"/>
  <c r="K72" i="19"/>
  <c r="K71" i="19" s="1"/>
  <c r="C21" i="14" s="1"/>
  <c r="K31" i="19"/>
  <c r="J66" i="19"/>
  <c r="J68" i="19"/>
  <c r="C27" i="16"/>
  <c r="F27" i="16" s="1"/>
  <c r="C28" i="16"/>
  <c r="F28" i="16" s="1"/>
  <c r="C26" i="16"/>
  <c r="F26" i="16" s="1"/>
  <c r="C24" i="16"/>
  <c r="F24" i="16" s="1"/>
  <c r="C22" i="16"/>
  <c r="F22" i="16" s="1"/>
  <c r="C18" i="16"/>
  <c r="F18" i="16" s="1"/>
  <c r="C15" i="16"/>
  <c r="F15" i="16" s="1"/>
  <c r="F21" i="16"/>
  <c r="F23" i="16"/>
  <c r="F16" i="16"/>
  <c r="F17" i="16"/>
  <c r="F19" i="16"/>
  <c r="F20" i="16"/>
  <c r="C14" i="16"/>
  <c r="F14" i="16" s="1"/>
  <c r="F13" i="16"/>
  <c r="C8" i="16"/>
  <c r="F8" i="16" s="1"/>
  <c r="F5" i="16"/>
  <c r="F6" i="16"/>
  <c r="F7" i="16"/>
  <c r="F9" i="16"/>
  <c r="F10" i="16"/>
  <c r="F11" i="16"/>
  <c r="F12" i="16"/>
  <c r="F4" i="16"/>
  <c r="F3" i="16"/>
  <c r="H63" i="21" l="1"/>
  <c r="J70" i="19"/>
  <c r="H36" i="21"/>
  <c r="K67" i="19"/>
  <c r="E64" i="19"/>
  <c r="K64" i="19" s="1"/>
  <c r="E69" i="19"/>
  <c r="K69" i="19" s="1"/>
  <c r="E23" i="19"/>
  <c r="J23" i="19" s="1"/>
  <c r="E22" i="19"/>
  <c r="K22" i="19" s="1"/>
  <c r="C141" i="16"/>
  <c r="I25" i="11" s="1"/>
  <c r="E27" i="21" s="1"/>
  <c r="H27" i="21" s="1"/>
  <c r="J23" i="14"/>
  <c r="J65" i="19"/>
  <c r="K17" i="14"/>
  <c r="J17" i="14"/>
  <c r="J21" i="14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42" i="12"/>
  <c r="I19" i="12"/>
  <c r="I22" i="12" s="1"/>
  <c r="I10" i="12"/>
  <c r="I11" i="12"/>
  <c r="I12" i="12"/>
  <c r="I13" i="12"/>
  <c r="I14" i="12"/>
  <c r="I66" i="12"/>
  <c r="I67" i="12"/>
  <c r="I68" i="12"/>
  <c r="I69" i="12"/>
  <c r="I74" i="12"/>
  <c r="I75" i="12"/>
  <c r="I79" i="12"/>
  <c r="I80" i="12"/>
  <c r="I81" i="12"/>
  <c r="I82" i="12"/>
  <c r="I83" i="12"/>
  <c r="I88" i="12"/>
  <c r="I98" i="12"/>
  <c r="I99" i="12"/>
  <c r="I100" i="12"/>
  <c r="I101" i="12"/>
  <c r="I102" i="12"/>
  <c r="I103" i="12"/>
  <c r="I104" i="12"/>
  <c r="I105" i="12"/>
  <c r="I106" i="12"/>
  <c r="I107" i="12"/>
  <c r="I114" i="12"/>
  <c r="I115" i="12"/>
  <c r="I116" i="12"/>
  <c r="I120" i="12"/>
  <c r="I132" i="12"/>
  <c r="I133" i="12"/>
  <c r="I134" i="12"/>
  <c r="I135" i="12"/>
  <c r="I136" i="12"/>
  <c r="I137" i="12"/>
  <c r="I138" i="12"/>
  <c r="I139" i="12"/>
  <c r="I140" i="12"/>
  <c r="I141" i="12"/>
  <c r="I142" i="12"/>
  <c r="I166" i="12"/>
  <c r="I167" i="12"/>
  <c r="I168" i="12"/>
  <c r="I169" i="12"/>
  <c r="I170" i="12"/>
  <c r="I171" i="12"/>
  <c r="I172" i="12"/>
  <c r="I173" i="12"/>
  <c r="I174" i="12"/>
  <c r="I181" i="12"/>
  <c r="I182" i="12"/>
  <c r="I196" i="12"/>
  <c r="I197" i="12"/>
  <c r="I198" i="12"/>
  <c r="I199" i="12"/>
  <c r="I200" i="12"/>
  <c r="I201" i="12"/>
  <c r="I202" i="12"/>
  <c r="I203" i="12"/>
  <c r="I204" i="12"/>
  <c r="I23" i="12" l="1"/>
  <c r="F16" i="21" s="1"/>
  <c r="G16" i="21" s="1"/>
  <c r="H16" i="21" s="1"/>
  <c r="J69" i="19"/>
  <c r="K23" i="19"/>
  <c r="K63" i="19"/>
  <c r="C19" i="14" s="1"/>
  <c r="K19" i="14" s="1"/>
  <c r="J22" i="19"/>
  <c r="E27" i="19"/>
  <c r="K27" i="19" s="1"/>
  <c r="I205" i="12"/>
  <c r="I117" i="12"/>
  <c r="I15" i="12"/>
  <c r="I16" i="12" s="1"/>
  <c r="I57" i="12"/>
  <c r="G16" i="19" l="1"/>
  <c r="I16" i="19" s="1"/>
  <c r="K16" i="19" s="1"/>
  <c r="J19" i="14"/>
  <c r="H74" i="19"/>
  <c r="J74" i="19" s="1"/>
  <c r="H72" i="19"/>
  <c r="J72" i="19" s="1"/>
  <c r="J71" i="19" s="1"/>
  <c r="H64" i="19"/>
  <c r="H34" i="19"/>
  <c r="H32" i="19"/>
  <c r="H29" i="19"/>
  <c r="H28" i="19"/>
  <c r="H27" i="19"/>
  <c r="H21" i="19"/>
  <c r="J21" i="19" s="1"/>
  <c r="H20" i="19"/>
  <c r="H19" i="19"/>
  <c r="H18" i="19"/>
  <c r="H17" i="19"/>
  <c r="H13" i="19"/>
  <c r="J13" i="19" s="1"/>
  <c r="J73" i="19" l="1"/>
  <c r="J12" i="19"/>
  <c r="K15" i="18"/>
  <c r="F13" i="18"/>
  <c r="F18" i="18" s="1"/>
  <c r="D13" i="18"/>
  <c r="D18" i="18" s="1"/>
  <c r="K16" i="18" l="1"/>
  <c r="K17" i="18" s="1"/>
  <c r="K18" i="18" s="1"/>
  <c r="J64" i="19" l="1"/>
  <c r="J63" i="19" l="1"/>
  <c r="E29" i="19" l="1"/>
  <c r="J29" i="19" l="1"/>
  <c r="K29" i="19"/>
  <c r="J27" i="19"/>
  <c r="I26" i="11"/>
  <c r="E28" i="21" s="1"/>
  <c r="H28" i="21" s="1"/>
  <c r="H26" i="21" l="1"/>
  <c r="E28" i="19"/>
  <c r="J28" i="19" s="1"/>
  <c r="J26" i="19" s="1"/>
  <c r="K28" i="19" l="1"/>
  <c r="K26" i="19" s="1"/>
  <c r="C11" i="14" s="1"/>
  <c r="E34" i="19"/>
  <c r="L81" i="12"/>
  <c r="J11" i="14" l="1"/>
  <c r="K11" i="14"/>
  <c r="J34" i="19"/>
  <c r="J33" i="19" s="1"/>
  <c r="K34" i="19"/>
  <c r="E32" i="19"/>
  <c r="K33" i="19" l="1"/>
  <c r="C15" i="14" s="1"/>
  <c r="J18" i="19"/>
  <c r="K18" i="19"/>
  <c r="J32" i="19"/>
  <c r="K32" i="19"/>
  <c r="K30" i="19" s="1"/>
  <c r="C13" i="14" s="1"/>
  <c r="K15" i="14" l="1"/>
  <c r="J15" i="14"/>
  <c r="J13" i="14"/>
  <c r="K13" i="14"/>
  <c r="K15" i="13"/>
  <c r="J19" i="19" l="1"/>
  <c r="K19" i="19"/>
  <c r="L82" i="12" l="1"/>
  <c r="G15" i="11"/>
  <c r="I15" i="11" s="1"/>
  <c r="E17" i="21" s="1"/>
  <c r="H17" i="21" s="1"/>
  <c r="F13" i="13"/>
  <c r="F18" i="13" s="1"/>
  <c r="D13" i="13"/>
  <c r="H19" i="12"/>
  <c r="H22" i="12" s="1"/>
  <c r="H23" i="12" s="1"/>
  <c r="H204" i="12"/>
  <c r="H203" i="12"/>
  <c r="H202" i="12"/>
  <c r="H201" i="12"/>
  <c r="H200" i="12"/>
  <c r="H199" i="12"/>
  <c r="H198" i="12"/>
  <c r="H197" i="12"/>
  <c r="H196" i="12"/>
  <c r="K195" i="12"/>
  <c r="E181" i="12"/>
  <c r="E182" i="12" s="1"/>
  <c r="H182" i="12" s="1"/>
  <c r="E174" i="12"/>
  <c r="H174" i="12" s="1"/>
  <c r="E173" i="12"/>
  <c r="H173" i="12" s="1"/>
  <c r="E172" i="12"/>
  <c r="H172" i="12" s="1"/>
  <c r="E171" i="12"/>
  <c r="H171" i="12" s="1"/>
  <c r="E170" i="12"/>
  <c r="H170" i="12" s="1"/>
  <c r="E169" i="12"/>
  <c r="H169" i="12" s="1"/>
  <c r="E168" i="12"/>
  <c r="H168" i="12" s="1"/>
  <c r="E167" i="12"/>
  <c r="H167" i="12" s="1"/>
  <c r="E166" i="12"/>
  <c r="H166" i="12" s="1"/>
  <c r="D146" i="12"/>
  <c r="D176" i="12" s="1"/>
  <c r="D183" i="12" s="1"/>
  <c r="C146" i="12"/>
  <c r="C176" i="12" s="1"/>
  <c r="C183" i="12" s="1"/>
  <c r="B146" i="12"/>
  <c r="B176" i="12" s="1"/>
  <c r="B183" i="12" s="1"/>
  <c r="A146" i="12"/>
  <c r="A176" i="12" s="1"/>
  <c r="A183" i="12" s="1"/>
  <c r="H142" i="12"/>
  <c r="H141" i="12"/>
  <c r="H140" i="12"/>
  <c r="H139" i="12"/>
  <c r="H138" i="12"/>
  <c r="H137" i="12"/>
  <c r="H136" i="12"/>
  <c r="H135" i="12"/>
  <c r="E134" i="12"/>
  <c r="H134" i="12" s="1"/>
  <c r="E133" i="12"/>
  <c r="H133" i="12" s="1"/>
  <c r="H132" i="12"/>
  <c r="F122" i="12"/>
  <c r="D122" i="12"/>
  <c r="D128" i="12" s="1"/>
  <c r="D144" i="12" s="1"/>
  <c r="C122" i="12"/>
  <c r="C128" i="12" s="1"/>
  <c r="B122" i="12"/>
  <c r="B128" i="12" s="1"/>
  <c r="B144" i="12" s="1"/>
  <c r="A122" i="12"/>
  <c r="A128" i="12" s="1"/>
  <c r="A144" i="12" s="1"/>
  <c r="F121" i="12"/>
  <c r="D121" i="12"/>
  <c r="D127" i="12" s="1"/>
  <c r="D143" i="12" s="1"/>
  <c r="C121" i="12"/>
  <c r="C127" i="12" s="1"/>
  <c r="B121" i="12"/>
  <c r="B127" i="12" s="1"/>
  <c r="B143" i="12" s="1"/>
  <c r="A121" i="12"/>
  <c r="A127" i="12" s="1"/>
  <c r="A143" i="12" s="1"/>
  <c r="H120" i="12"/>
  <c r="H116" i="12"/>
  <c r="H115" i="12"/>
  <c r="H114" i="12"/>
  <c r="F109" i="12"/>
  <c r="D109" i="12"/>
  <c r="C109" i="12"/>
  <c r="B109" i="12"/>
  <c r="A109" i="12"/>
  <c r="D108" i="12"/>
  <c r="C108" i="12"/>
  <c r="B108" i="12"/>
  <c r="A108" i="12"/>
  <c r="H107" i="12"/>
  <c r="H106" i="12"/>
  <c r="H105" i="12"/>
  <c r="H104" i="12"/>
  <c r="H103" i="12"/>
  <c r="H102" i="12"/>
  <c r="H101" i="12"/>
  <c r="H100" i="12"/>
  <c r="H99" i="12"/>
  <c r="H98" i="12"/>
  <c r="D93" i="12"/>
  <c r="D145" i="12" s="1"/>
  <c r="D175" i="12" s="1"/>
  <c r="C93" i="12"/>
  <c r="C145" i="12" s="1"/>
  <c r="C175" i="12" s="1"/>
  <c r="B93" i="12"/>
  <c r="B145" i="12" s="1"/>
  <c r="B175" i="12" s="1"/>
  <c r="A93" i="12"/>
  <c r="A145" i="12" s="1"/>
  <c r="A175" i="12" s="1"/>
  <c r="F92" i="12"/>
  <c r="D92" i="12"/>
  <c r="C92" i="12"/>
  <c r="B92" i="12"/>
  <c r="A92" i="12"/>
  <c r="F91" i="12"/>
  <c r="I91" i="12" s="1"/>
  <c r="D91" i="12"/>
  <c r="C91" i="12"/>
  <c r="B91" i="12"/>
  <c r="A91" i="12"/>
  <c r="F90" i="12"/>
  <c r="I90" i="12" s="1"/>
  <c r="D90" i="12"/>
  <c r="C90" i="12"/>
  <c r="B90" i="12"/>
  <c r="A90" i="12"/>
  <c r="F89" i="12"/>
  <c r="I89" i="12" s="1"/>
  <c r="E89" i="12"/>
  <c r="D89" i="12"/>
  <c r="C89" i="12"/>
  <c r="B89" i="12"/>
  <c r="A89" i="12"/>
  <c r="H88" i="12"/>
  <c r="D84" i="12"/>
  <c r="C84" i="12"/>
  <c r="B84" i="12"/>
  <c r="A84" i="12"/>
  <c r="H83" i="12"/>
  <c r="E82" i="12"/>
  <c r="E91" i="12" s="1"/>
  <c r="E81" i="12"/>
  <c r="E90" i="12" s="1"/>
  <c r="H80" i="12"/>
  <c r="H79" i="12"/>
  <c r="H75" i="12"/>
  <c r="H74" i="12"/>
  <c r="F73" i="12"/>
  <c r="F72" i="12"/>
  <c r="F71" i="12"/>
  <c r="F70" i="12"/>
  <c r="H69" i="12"/>
  <c r="H68" i="12"/>
  <c r="H67" i="12"/>
  <c r="H66" i="12"/>
  <c r="F65" i="12"/>
  <c r="D65" i="12"/>
  <c r="C65" i="12"/>
  <c r="B65" i="12"/>
  <c r="A65" i="12"/>
  <c r="F64" i="12"/>
  <c r="D64" i="12"/>
  <c r="C64" i="12"/>
  <c r="B64" i="12"/>
  <c r="A64" i="12"/>
  <c r="F63" i="12"/>
  <c r="D63" i="12"/>
  <c r="C63" i="12"/>
  <c r="B63" i="12"/>
  <c r="A63" i="12"/>
  <c r="F62" i="12"/>
  <c r="D62" i="12"/>
  <c r="C62" i="12"/>
  <c r="B62" i="12"/>
  <c r="A62" i="12"/>
  <c r="F61" i="12"/>
  <c r="D61" i="12"/>
  <c r="C61" i="12"/>
  <c r="B61" i="12"/>
  <c r="A61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G26" i="12"/>
  <c r="E14" i="12"/>
  <c r="H14" i="12" s="1"/>
  <c r="E13" i="12"/>
  <c r="H13" i="12" s="1"/>
  <c r="E12" i="12"/>
  <c r="H12" i="12" s="1"/>
  <c r="H11" i="12"/>
  <c r="H10" i="12"/>
  <c r="H14" i="21" l="1"/>
  <c r="F16" i="19"/>
  <c r="H16" i="19" s="1"/>
  <c r="J16" i="19" s="1"/>
  <c r="H92" i="12"/>
  <c r="I92" i="12"/>
  <c r="H121" i="12"/>
  <c r="I121" i="12"/>
  <c r="H64" i="12"/>
  <c r="I64" i="12"/>
  <c r="H61" i="12"/>
  <c r="I61" i="12"/>
  <c r="F128" i="12"/>
  <c r="I128" i="12" s="1"/>
  <c r="I122" i="12"/>
  <c r="H72" i="12"/>
  <c r="I72" i="12"/>
  <c r="H70" i="12"/>
  <c r="I70" i="12"/>
  <c r="F108" i="12"/>
  <c r="I71" i="12"/>
  <c r="H109" i="12"/>
  <c r="I109" i="12"/>
  <c r="E17" i="19"/>
  <c r="H63" i="12"/>
  <c r="I63" i="12"/>
  <c r="H62" i="12"/>
  <c r="I62" i="12"/>
  <c r="H65" i="12"/>
  <c r="I65" i="12"/>
  <c r="H73" i="12"/>
  <c r="I73" i="12"/>
  <c r="D18" i="13"/>
  <c r="K16" i="13"/>
  <c r="K17" i="13" s="1"/>
  <c r="K18" i="13" s="1"/>
  <c r="H91" i="12"/>
  <c r="H89" i="12"/>
  <c r="H181" i="12"/>
  <c r="G27" i="12"/>
  <c r="H90" i="12"/>
  <c r="H122" i="12"/>
  <c r="H123" i="12" s="1"/>
  <c r="H57" i="12"/>
  <c r="H71" i="12"/>
  <c r="H81" i="12"/>
  <c r="F84" i="12"/>
  <c r="H117" i="12"/>
  <c r="F127" i="12"/>
  <c r="H205" i="12"/>
  <c r="H82" i="12"/>
  <c r="F93" i="12"/>
  <c r="F146" i="12"/>
  <c r="H15" i="12"/>
  <c r="H16" i="12" s="1"/>
  <c r="H75" i="21" l="1"/>
  <c r="F144" i="12"/>
  <c r="I144" i="12" s="1"/>
  <c r="H128" i="12"/>
  <c r="I123" i="12"/>
  <c r="J17" i="19"/>
  <c r="K17" i="19"/>
  <c r="J20" i="19"/>
  <c r="K20" i="19"/>
  <c r="H84" i="12"/>
  <c r="H85" i="12" s="1"/>
  <c r="I84" i="12"/>
  <c r="I85" i="12" s="1"/>
  <c r="H108" i="12"/>
  <c r="H110" i="12" s="1"/>
  <c r="I108" i="12"/>
  <c r="I110" i="12" s="1"/>
  <c r="H93" i="12"/>
  <c r="H94" i="12" s="1"/>
  <c r="I93" i="12"/>
  <c r="I94" i="12" s="1"/>
  <c r="F143" i="12"/>
  <c r="I127" i="12"/>
  <c r="I129" i="12" s="1"/>
  <c r="H76" i="12"/>
  <c r="I76" i="12"/>
  <c r="F176" i="12"/>
  <c r="F183" i="12" s="1"/>
  <c r="I146" i="12"/>
  <c r="H31" i="19"/>
  <c r="J31" i="19" s="1"/>
  <c r="J30" i="19" s="1"/>
  <c r="H146" i="12"/>
  <c r="F145" i="12"/>
  <c r="H127" i="12"/>
  <c r="O132" i="11"/>
  <c r="O133" i="11" s="1"/>
  <c r="I36" i="21" l="1"/>
  <c r="I57" i="21"/>
  <c r="I53" i="21"/>
  <c r="I13" i="21"/>
  <c r="I18" i="21"/>
  <c r="I49" i="21"/>
  <c r="I33" i="21"/>
  <c r="I48" i="21"/>
  <c r="I35" i="21"/>
  <c r="I37" i="21"/>
  <c r="I34" i="21"/>
  <c r="I73" i="21"/>
  <c r="I52" i="21"/>
  <c r="I15" i="21"/>
  <c r="I32" i="21"/>
  <c r="I31" i="21"/>
  <c r="I55" i="21"/>
  <c r="I19" i="21"/>
  <c r="I20" i="21"/>
  <c r="I59" i="21"/>
  <c r="I68" i="21"/>
  <c r="I71" i="21"/>
  <c r="I60" i="21"/>
  <c r="I51" i="21"/>
  <c r="I74" i="21"/>
  <c r="I72" i="21"/>
  <c r="I29" i="21"/>
  <c r="I62" i="21"/>
  <c r="I12" i="21"/>
  <c r="I47" i="21"/>
  <c r="I46" i="21"/>
  <c r="I41" i="21"/>
  <c r="I50" i="21"/>
  <c r="I38" i="21"/>
  <c r="I75" i="21"/>
  <c r="I58" i="21"/>
  <c r="I44" i="21"/>
  <c r="I30" i="21"/>
  <c r="I43" i="21"/>
  <c r="I42" i="21"/>
  <c r="I54" i="21"/>
  <c r="I45" i="21"/>
  <c r="I56" i="21"/>
  <c r="I61" i="21"/>
  <c r="I24" i="21"/>
  <c r="I25" i="21"/>
  <c r="I66" i="21"/>
  <c r="I70" i="21"/>
  <c r="I21" i="21"/>
  <c r="I65" i="21"/>
  <c r="I67" i="21"/>
  <c r="I23" i="21"/>
  <c r="I39" i="21"/>
  <c r="I69" i="21"/>
  <c r="I40" i="21"/>
  <c r="I22" i="21"/>
  <c r="I64" i="21"/>
  <c r="I27" i="21"/>
  <c r="I63" i="21"/>
  <c r="I16" i="21"/>
  <c r="I28" i="21"/>
  <c r="I26" i="21"/>
  <c r="I17" i="21"/>
  <c r="I14" i="21"/>
  <c r="H144" i="12"/>
  <c r="H129" i="12"/>
  <c r="H15" i="19"/>
  <c r="J15" i="19" s="1"/>
  <c r="G15" i="19"/>
  <c r="I15" i="19" s="1"/>
  <c r="K15" i="19" s="1"/>
  <c r="K14" i="19" s="1"/>
  <c r="H145" i="12"/>
  <c r="I145" i="12"/>
  <c r="H143" i="12"/>
  <c r="I143" i="12"/>
  <c r="H183" i="12"/>
  <c r="H184" i="12" s="1"/>
  <c r="I183" i="12"/>
  <c r="I184" i="12" s="1"/>
  <c r="H176" i="12"/>
  <c r="I176" i="12"/>
  <c r="F175" i="12"/>
  <c r="J14" i="19" l="1"/>
  <c r="J75" i="19" s="1"/>
  <c r="L47" i="19" s="1"/>
  <c r="I147" i="12"/>
  <c r="K75" i="19"/>
  <c r="H86" i="19" s="1"/>
  <c r="C9" i="14"/>
  <c r="H147" i="12"/>
  <c r="H175" i="12"/>
  <c r="H177" i="12" s="1"/>
  <c r="I175" i="12"/>
  <c r="I177" i="12" s="1"/>
  <c r="E7" i="14"/>
  <c r="F15" i="14"/>
  <c r="L61" i="19" l="1"/>
  <c r="L62" i="19"/>
  <c r="L59" i="19"/>
  <c r="L60" i="19"/>
  <c r="L57" i="19"/>
  <c r="L58" i="19"/>
  <c r="L42" i="19"/>
  <c r="H85" i="19"/>
  <c r="H88" i="19" s="1"/>
  <c r="L22" i="19"/>
  <c r="L48" i="19"/>
  <c r="L35" i="19"/>
  <c r="L24" i="19"/>
  <c r="L25" i="19"/>
  <c r="L23" i="19"/>
  <c r="J9" i="14"/>
  <c r="K9" i="14"/>
  <c r="I7" i="14"/>
  <c r="G7" i="14"/>
  <c r="H7" i="14"/>
  <c r="F7" i="14"/>
  <c r="E21" i="14"/>
  <c r="I21" i="14"/>
  <c r="H21" i="14"/>
  <c r="F23" i="14"/>
  <c r="I23" i="14"/>
  <c r="H23" i="14"/>
  <c r="E15" i="14"/>
  <c r="I15" i="14"/>
  <c r="H15" i="14"/>
  <c r="G13" i="14"/>
  <c r="I13" i="14"/>
  <c r="H13" i="14"/>
  <c r="G15" i="14"/>
  <c r="F13" i="14"/>
  <c r="G21" i="14"/>
  <c r="G23" i="14"/>
  <c r="E13" i="14"/>
  <c r="E23" i="14"/>
  <c r="F21" i="14"/>
  <c r="L7" i="14" l="1"/>
  <c r="L15" i="14"/>
  <c r="L13" i="14"/>
  <c r="G17" i="14"/>
  <c r="H17" i="14"/>
  <c r="I17" i="14"/>
  <c r="G19" i="14"/>
  <c r="I19" i="14"/>
  <c r="H19" i="14"/>
  <c r="H9" i="14"/>
  <c r="I9" i="14"/>
  <c r="F17" i="14"/>
  <c r="E17" i="14"/>
  <c r="E9" i="14"/>
  <c r="F9" i="14"/>
  <c r="G9" i="14"/>
  <c r="E19" i="14"/>
  <c r="F19" i="14"/>
  <c r="L19" i="14" l="1"/>
  <c r="L17" i="14"/>
  <c r="L9" i="14"/>
  <c r="L71" i="19"/>
  <c r="L68" i="19"/>
  <c r="L66" i="19"/>
  <c r="L67" i="19"/>
  <c r="L69" i="19"/>
  <c r="L65" i="19"/>
  <c r="L70" i="19"/>
  <c r="L36" i="19"/>
  <c r="L19" i="19"/>
  <c r="L12" i="19"/>
  <c r="L32" i="19"/>
  <c r="L64" i="19"/>
  <c r="L74" i="19"/>
  <c r="L27" i="19"/>
  <c r="L46" i="19"/>
  <c r="L63" i="19"/>
  <c r="L72" i="19"/>
  <c r="L29" i="19"/>
  <c r="L14" i="19"/>
  <c r="L31" i="19"/>
  <c r="L15" i="19"/>
  <c r="L53" i="19"/>
  <c r="L52" i="19"/>
  <c r="L73" i="19"/>
  <c r="L26" i="19"/>
  <c r="L17" i="19"/>
  <c r="L43" i="19"/>
  <c r="L38" i="19"/>
  <c r="L55" i="19"/>
  <c r="L56" i="19"/>
  <c r="L16" i="19"/>
  <c r="L20" i="19"/>
  <c r="L54" i="19"/>
  <c r="L39" i="19"/>
  <c r="L33" i="19"/>
  <c r="L37" i="19"/>
  <c r="L18" i="19"/>
  <c r="L34" i="19"/>
  <c r="L13" i="19"/>
  <c r="L21" i="19"/>
  <c r="L49" i="19"/>
  <c r="L44" i="19"/>
  <c r="L41" i="19"/>
  <c r="L30" i="19"/>
  <c r="L75" i="19"/>
  <c r="L40" i="19"/>
  <c r="L50" i="19"/>
  <c r="L51" i="19"/>
  <c r="L28" i="19"/>
  <c r="L45" i="19"/>
  <c r="G11" i="14" l="1"/>
  <c r="I11" i="14"/>
  <c r="H11" i="14"/>
  <c r="F11" i="14"/>
  <c r="C25" i="14"/>
  <c r="E11" i="14"/>
  <c r="H28" i="14" l="1"/>
  <c r="L11" i="14"/>
  <c r="K26" i="14"/>
  <c r="J26" i="14"/>
  <c r="J28" i="14"/>
  <c r="K28" i="14"/>
  <c r="F28" i="14"/>
  <c r="I26" i="14"/>
  <c r="I28" i="14"/>
  <c r="G26" i="14"/>
  <c r="G28" i="14"/>
  <c r="F26" i="14"/>
  <c r="E26" i="14"/>
  <c r="C37" i="14"/>
  <c r="D7" i="14"/>
  <c r="D17" i="14"/>
  <c r="D11" i="14"/>
  <c r="D21" i="14"/>
  <c r="D23" i="14"/>
  <c r="D15" i="14"/>
  <c r="D9" i="14"/>
  <c r="D13" i="14"/>
  <c r="D19" i="14"/>
  <c r="H26" i="14" l="1"/>
  <c r="E27" i="14"/>
  <c r="D25" i="14"/>
  <c r="E28" i="14" l="1"/>
</calcChain>
</file>

<file path=xl/sharedStrings.xml><?xml version="1.0" encoding="utf-8"?>
<sst xmlns="http://schemas.openxmlformats.org/spreadsheetml/2006/main" count="1450" uniqueCount="555">
  <si>
    <t>PROJETOS</t>
  </si>
  <si>
    <t>SERVIÇOS PRELIMINARES</t>
  </si>
  <si>
    <t>SINAPI</t>
  </si>
  <si>
    <t>m²</t>
  </si>
  <si>
    <t>m³</t>
  </si>
  <si>
    <t>COBERTURA</t>
  </si>
  <si>
    <t>INSTALAÇÕES ELÉTRICAS</t>
  </si>
  <si>
    <t>PINTURA</t>
  </si>
  <si>
    <t>m</t>
  </si>
  <si>
    <t>SERVIÇOS COMPLEMENTARES</t>
  </si>
  <si>
    <t>2.1</t>
  </si>
  <si>
    <t>2.3</t>
  </si>
  <si>
    <t>6.1</t>
  </si>
  <si>
    <t>6.2</t>
  </si>
  <si>
    <t>6.3</t>
  </si>
  <si>
    <t>6.4</t>
  </si>
  <si>
    <t>IFRN 001</t>
  </si>
  <si>
    <t>UND</t>
  </si>
  <si>
    <t>IFRN 002</t>
  </si>
  <si>
    <t>DIRETORIA DE ENGENHARIA E INFRAESTRUTURA</t>
  </si>
  <si>
    <t>DATA:</t>
  </si>
  <si>
    <t>CÓDIGO</t>
  </si>
  <si>
    <t>DESCRIÇÃO</t>
  </si>
  <si>
    <t>Regularização de obra</t>
  </si>
  <si>
    <t xml:space="preserve">SER.CG </t>
  </si>
  <si>
    <t>PREÇO TOTAL (unit.):</t>
  </si>
  <si>
    <t>PERCENTURAL ACUMULADO:</t>
  </si>
  <si>
    <t>TOTAIS ACUMULADOS:</t>
  </si>
  <si>
    <t>PERCENTUAL MENSAL:</t>
  </si>
  <si>
    <t>TOTAIS SIMPLES:</t>
  </si>
  <si>
    <t>%</t>
  </si>
  <si>
    <t>VALOR</t>
  </si>
  <si>
    <t>ITEM</t>
  </si>
  <si>
    <t>LOCAL:</t>
  </si>
  <si>
    <t xml:space="preserve">     (PIS, COFINS, ISS e CPRB)</t>
  </si>
  <si>
    <t>I = taxa de incidência de impostos</t>
  </si>
  <si>
    <t>L = taxa de lucro/remuneração</t>
  </si>
  <si>
    <t>R = taxa de risco</t>
  </si>
  <si>
    <t>G = taxa de garantias</t>
  </si>
  <si>
    <t>S = taxa de seguros</t>
  </si>
  <si>
    <t>DF = taxa de despesas financeiras</t>
  </si>
  <si>
    <t>AC = taxa de administração central</t>
  </si>
  <si>
    <t xml:space="preserve">TOTAL GERAL DO B.D.I. </t>
  </si>
  <si>
    <t>i³</t>
  </si>
  <si>
    <t>i²</t>
  </si>
  <si>
    <t>PIS</t>
  </si>
  <si>
    <t>i¹</t>
  </si>
  <si>
    <t>ISS</t>
  </si>
  <si>
    <t>i°</t>
  </si>
  <si>
    <t>COFINS</t>
  </si>
  <si>
    <t>I</t>
  </si>
  <si>
    <t>L</t>
  </si>
  <si>
    <t>Taxa de Lucro/Remuneração</t>
  </si>
  <si>
    <t>R</t>
  </si>
  <si>
    <t>Taxa de Risco</t>
  </si>
  <si>
    <t>S+G</t>
  </si>
  <si>
    <t>Taxa de Seguros e Taxa de Garantias</t>
  </si>
  <si>
    <t>DF</t>
  </si>
  <si>
    <t>Despesas Financeiras</t>
  </si>
  <si>
    <t>AC</t>
  </si>
  <si>
    <t>Taxa de Administração Central</t>
  </si>
  <si>
    <t>B.D.I.  equipamentos</t>
  </si>
  <si>
    <t>B.D.I.             edificação</t>
  </si>
  <si>
    <t>TOTAL DAS DESPESAS INDIRETAS</t>
  </si>
  <si>
    <t>CÁLCULO DA  BONIFICAÇÃO E DESPESAS INDIRETAS, CONFORME ACÓRDÃO 2.622/2013 - T.C.U.</t>
  </si>
  <si>
    <t>1.1</t>
  </si>
  <si>
    <t>MEMÓRIA DE CÁLCULO</t>
  </si>
  <si>
    <t>h</t>
  </si>
  <si>
    <t>9.1</t>
  </si>
  <si>
    <t>PLANILHA ORÇAMENTÁRIA</t>
  </si>
  <si>
    <t>2.4</t>
  </si>
  <si>
    <t>und</t>
  </si>
  <si>
    <t>7.2</t>
  </si>
  <si>
    <t>2.2</t>
  </si>
  <si>
    <t>2.5</t>
  </si>
  <si>
    <t>2.6</t>
  </si>
  <si>
    <t>2.7</t>
  </si>
  <si>
    <t>Limpeza geral</t>
  </si>
  <si>
    <t>IFRN 003</t>
  </si>
  <si>
    <t>IFRN 004</t>
  </si>
  <si>
    <t xml:space="preserve">Tereza Catrina Ferreira Fernandes
Eng. Civil / IFRN - AP
Mat: 3103136 / Crea: 211.824.285-9 </t>
  </si>
  <si>
    <t>MINISTÉRIO DA EDUCAÇÃO - SECRETARIA DE EDUCAÇÃO PROFISSIONAL E TECNOLÓGICA</t>
  </si>
  <si>
    <t>INSTITUTO FEDERAL DE EDUCAÇÃO, CIÊNCIA E TECNOLÓGIA DO RIO GRANDE DO NORTE</t>
  </si>
  <si>
    <t>Rua Dr. Nilo Bezerra Ramalho, n°1692, Tirol, Natal/RN - CEP: 59.015-300</t>
  </si>
  <si>
    <t xml:space="preserve"> OBRA:</t>
  </si>
  <si>
    <t xml:space="preserve"> LOCAL:</t>
  </si>
  <si>
    <t>BDI Obra:</t>
  </si>
  <si>
    <t xml:space="preserve"> ÁREA TOTAL:</t>
  </si>
  <si>
    <t>BDI Equip.:</t>
  </si>
  <si>
    <t xml:space="preserve">ITEM </t>
  </si>
  <si>
    <t>DESCRIÇÃO DOS SERVIÇOS</t>
  </si>
  <si>
    <t>TOTAL</t>
  </si>
  <si>
    <t>PREÇOS</t>
  </si>
  <si>
    <t>SERVIÇOS PRELIMINARES / TÉCNICOS</t>
  </si>
  <si>
    <t>ut</t>
  </si>
  <si>
    <t>IFRN - Campus Apodi</t>
  </si>
  <si>
    <t>Regularização de obra (taxas diversas).</t>
  </si>
  <si>
    <t>Limpeza mecanizada de camada vegetal, vegetação e pequenas árvores (diâmetro de tronco menor que 20 cm) com trator de esteiras.</t>
  </si>
  <si>
    <t>Escavação manual de vala com profundidade menor ou igual a 1,30m.</t>
  </si>
  <si>
    <t>Reaterro manual apiloado com soquete.</t>
  </si>
  <si>
    <t>Aterro manual de valas com areia para aterro e compactação mecanizada.</t>
  </si>
  <si>
    <t>SUPERESTRUTURA</t>
  </si>
  <si>
    <t>IFRN 010</t>
  </si>
  <si>
    <t xml:space="preserve">Laje pré-fabricada, treliçada  para forro,  sobrecarga 100Kgf/m²,  inclusive  vigotas, bloco EPS, armadura negativas e capeamento de 5 cm com concreto Fck  ≥ 25 Mpa e escoramento com pé direito simples. </t>
  </si>
  <si>
    <t>87630</t>
  </si>
  <si>
    <t>Contrapiso em argamassa traço 1:4 (cimento e areia), preparo mecânico com betoneira 400l, aplicado em áreas secas, sobre laje, aderido, espessura 3 cm.</t>
  </si>
  <si>
    <t>Orse 2450</t>
  </si>
  <si>
    <t>DESCRIÇÃO/ LOCAL</t>
  </si>
  <si>
    <t>QTD</t>
  </si>
  <si>
    <t>ALT (m)</t>
  </si>
  <si>
    <t>COMP (m)</t>
  </si>
  <si>
    <t>LARG (m)</t>
  </si>
  <si>
    <t>ÁREA (m²)</t>
  </si>
  <si>
    <t>VOL (m³)</t>
  </si>
  <si>
    <t>OBSERVAÇÕES:</t>
  </si>
  <si>
    <t>3.1</t>
  </si>
  <si>
    <t>3.2</t>
  </si>
  <si>
    <t>3.3</t>
  </si>
  <si>
    <t>4.1</t>
  </si>
  <si>
    <t>5.1</t>
  </si>
  <si>
    <t>7.1</t>
  </si>
  <si>
    <t>8.1</t>
  </si>
  <si>
    <t>COMPOSIÇÕES DE CUSTO</t>
  </si>
  <si>
    <t>CLAS</t>
  </si>
  <si>
    <t>COEF.</t>
  </si>
  <si>
    <t>PR. TOTAL</t>
  </si>
  <si>
    <t>Administração local da obra.</t>
  </si>
  <si>
    <t>mês</t>
  </si>
  <si>
    <t>MESTRE DE OBRAS COM ENCARGOS COMPLEMENTARES</t>
  </si>
  <si>
    <t>m.o.</t>
  </si>
  <si>
    <t>ALMOXARIFE COM ENCARGOS COMPLEMENTARES</t>
  </si>
  <si>
    <t>TÉCNICO COM ENCARGOS COMPLEMENTARES</t>
  </si>
  <si>
    <t>AUXILIAR TÉCNICO DE ENGENHARIA COM ENCARGOS COMPLEMENTARES</t>
  </si>
  <si>
    <t>ENGENHEIRO CIVIL DE OBRA PLENO COM ENCARGOS COMPLEMENTARES</t>
  </si>
  <si>
    <t>Preço total para 1 mês:</t>
  </si>
  <si>
    <t>Preço total para 6 meses:</t>
  </si>
  <si>
    <t>CREA</t>
  </si>
  <si>
    <t>CREA - ANOTAÇÃO DE RESPONSABILIDADE TÉCNICA - ART - DE EXECUÇÃO</t>
  </si>
  <si>
    <t>doc.</t>
  </si>
  <si>
    <t>Preço total:</t>
  </si>
  <si>
    <t>INFRAESTRUTURA / FUNDAÇÕES SIMPLES</t>
  </si>
  <si>
    <t>Concreto armado para sapata/ bloco de fundação, cinta inferior e espera de pilar, Fck=25Mpa, inclusive forma, escoramento, lançamento, ensaio de resistência à compressão e teste slump.</t>
  </si>
  <si>
    <t>BETONEIRA CAPACIDADE NOMINAL DE 400L, CAPACIDADE DE MISTURA 280L, MOTOR ELÉTRICO TRIFÁSICO POTÊNCIA DE 2CV, SEM CARREGADOR - CHP DIURNO</t>
  </si>
  <si>
    <t>equip</t>
  </si>
  <si>
    <t>chp</t>
  </si>
  <si>
    <t>AREIA MEDIA</t>
  </si>
  <si>
    <t>mat</t>
  </si>
  <si>
    <t>ARAME GALVANIZADO 18 BWG, D = 1,24MM (0,009 KG/M)</t>
  </si>
  <si>
    <t>kg</t>
  </si>
  <si>
    <t>CHAPA MADEIRA COMPENSADA RESINADA 2,2X1,1M (12MM) P/ FORMA CONCRETO</t>
  </si>
  <si>
    <t>CIMENTO PORTLAND COMPOSTO CP II-32</t>
  </si>
  <si>
    <t>DESMOLDANTE PROTETOR PARA FORMAS DE MADEIRA</t>
  </si>
  <si>
    <t>l</t>
  </si>
  <si>
    <t>PEDRA BRITADA N. 2 OU 25 MM</t>
  </si>
  <si>
    <t>PREGO DE ACO 17 X 21</t>
  </si>
  <si>
    <t>ACO CA-50, 10,0 MM, OU 12,5 MM, OU 16,0 MM, OU 20,0 MM, DOBRADO E CORTADO</t>
  </si>
  <si>
    <t>ACO CA-60, 4,2 MM OU 5,0 MM, DOBRADO E CORTADO</t>
  </si>
  <si>
    <t>ARMADOR COM ENCARGOS COMPLEMENTARES</t>
  </si>
  <si>
    <t>AJUDANTE DE CARPINTEIRO COM ENCARGOS COMPLEMENTARES</t>
  </si>
  <si>
    <t>PEDREIRO COM ENCARGOS COMPLEMENTARES</t>
  </si>
  <si>
    <t>SERVENTE COM ENCARGOS COMPLEMENTARES</t>
  </si>
  <si>
    <t>Preço Total:</t>
  </si>
  <si>
    <t>Concreto armado para estrutura (pilar, viga e laje), fck = 25MPa, inclusive forma, lançamento, adensamento, ensaio de resistência à compressão e teste slump.</t>
  </si>
  <si>
    <t>CHAPA DE MADEIRA COMPENSADA PLASTIFICADA PARA FORMA DE CONCRETO, DE 2,20 x 1,10 M, E = 18 MM.</t>
  </si>
  <si>
    <t>mat.</t>
  </si>
  <si>
    <t>PREGO DE ACO POLIDO COM CABECA 18 X 27 (2 1/2 X 10).</t>
  </si>
  <si>
    <t>ESCORA METÁLICA C/ ALTURA REGULÁVEL = 1,80 A 3,20M, C/ CAP. CARGA MIN.=1000 KGF INCLUINDO TRIPÉ E FORCADO</t>
  </si>
  <si>
    <t>m/ mês</t>
  </si>
  <si>
    <t>CONCRETAGEM DE PILARES, FCK = 25 MPA, COM USO DE BOMBA EM EDIFICAÇÃO COM SEÇÃO MÉDIA DE PILARES MENOR OU IGUAL A 0,25 M² - LANÇAMENTO, ADENSAMENTO E ACABAMENTO.</t>
  </si>
  <si>
    <t>serv.</t>
  </si>
  <si>
    <t>AJUDANTE DE ARMADOR COM ENCARGOS COMPLEMENTARES</t>
  </si>
  <si>
    <t>CARPINTEIRO DE FORMAS COM ENCARGOS COMPLEMENTARES</t>
  </si>
  <si>
    <t>LAJE PRE-MOLDADA TRELICADA (LAJOTAS + VIGOTAS) PARA FORRO, UNIDIRECIONAL, SOBRECARGA DE 100 KG/ M2, VAO ATE 6,00 M (SEM COLOCACAO)</t>
  </si>
  <si>
    <t>CONCRETO FCK = 25 MPA, TRAÇO 1: 2,3: 2,7 (CIMENTO/ AREIA MÉDIA/ BRITA 1) - PREPARO MECÂNICO COM BETONEIRA 600 L.</t>
  </si>
  <si>
    <t>serv</t>
  </si>
  <si>
    <t>ARMAÇÃO DE LAJE DE UMA ESTRUTURA CONVENCIONAL DE CONCRETO ARMADO EM UM EDIFÍCIO DE MÚLTIPLOS PAVIMENTOS UTILIZANDO AÇO CA-50 DE 16,0 MM - MONTAGEM.</t>
  </si>
  <si>
    <t>ARMAÇÃO DE LAJE DE UMA ESTRUTURA CONVENCIONAL DE CONCRETO ARMADO EM UM EDIFÍCIO DE MÚLTIPLOS PAVIMENTOS UTILIZANDO AÇO CA-50 DE 8,0 MM - MONTAGEM.</t>
  </si>
  <si>
    <t>MONTAGEM E DESMONTAGEM DE FÔRMA DE LAJE MACIÇA COM ÁREA MÉDIA MAIOR QUE 20 M², PÉ-DIREITO SIMPLES, EM CHAPA DE MADEIRA COMPENSADA PLASTIFICADA, 18 UTILIZAÇÕES.</t>
  </si>
  <si>
    <t>IFRN 011</t>
  </si>
  <si>
    <t>Laje pré-fabricada, treliçada  para piso,  sobrecarga 350Kgf/m²,  inclusive  vigotas, bloco EPS, armadura negativas e capeamento de 5 cm com concreto Fck  ≥ 25 Mpa e escoramento com pé direito simples.  H=21 cm .</t>
  </si>
  <si>
    <t>Orse 9805</t>
  </si>
  <si>
    <t>Laje pré-fabricada treliçada para piso ou cobertura, h=21cm, el. enchimento em bloco EPS, h=16cm</t>
  </si>
  <si>
    <t>IFRN 032</t>
  </si>
  <si>
    <t xml:space="preserve">Fabricação e instalação de tesoura inteira em madeira não aparelhada, vão de 15m, para telha ondulada de fibrocimento, metálica, plástica ou termoacústica, incluso içamento. </t>
  </si>
  <si>
    <t>4344</t>
  </si>
  <si>
    <t>PARAFUSO FRANCES METRICO ZINCADO, DIAMETRO 12 MM, COMPRIMENTO 150 MM, COM PORCA SEXTAVADA E ARRUELA DE PRESSAO MEDIA</t>
  </si>
  <si>
    <t>4400</t>
  </si>
  <si>
    <t>CAIBRO DE MADEIRA NAO APARELHADA *6 X 8* CM, MACARANDUBA, ANGELIM OU EQUIVALENTE DA REGIAO</t>
  </si>
  <si>
    <t>4415</t>
  </si>
  <si>
    <t>SARRAFO DE MADEIRA NAO APARELHADA 2,5 X 5 CM, MACARANDUBA, ANGELIM OU EQUIVALENTE DA REGIAO</t>
  </si>
  <si>
    <t>4425</t>
  </si>
  <si>
    <t>VIGA DE MADEIRA NAO APARELHADA 6 X 12 CM, MACARANDUBA, ANGELIM OU EQUIVALENTE DA REGIAO</t>
  </si>
  <si>
    <t>4472</t>
  </si>
  <si>
    <t>VIGA DE MADEIRA NAO APARELHADA *6 X 16* CM, MACARANDUBA, ANGELIM OU EQUIVALENTE DA REGIAO</t>
  </si>
  <si>
    <t>6193</t>
  </si>
  <si>
    <t>TABUA DE MADEIRA NAO APARELHADA *2,5 X 20* CM, CEDRINHO OU EQUIVALENTE DA REGIAO.</t>
  </si>
  <si>
    <t>21142</t>
  </si>
  <si>
    <t>ESTRIBO COM PARAFUSO EM CHAPA DE FERRO FUNDIDO DE 2" X 3/16" X 35 CM, SECAO "U", PARA MADEIRAMENTO DE TELHADO.</t>
  </si>
  <si>
    <t>39027</t>
  </si>
  <si>
    <t>PREGO DE ACO POLIDO COM CABECA 19  X 36 (3 1/4  X  9)</t>
  </si>
  <si>
    <t>40623</t>
  </si>
  <si>
    <t>CHAPA PARA EMENDA DE VIGA, EM ACO GROSSO, QUALIDADE ESTRUTURAL, BITOLA 3/16 ", E= 4,75 MM, 4 FUROS, LARGURA 45 MM, COMPRIMENTO 500 MM</t>
  </si>
  <si>
    <t>par</t>
  </si>
  <si>
    <t>92262</t>
  </si>
  <si>
    <t xml:space="preserve">INSTALAÇÃO DE TESOURA (INTEIRA OU MEIA), BIAPOIADA, EM MADEIRA NÃO APARELHADA, PARA VÃOS MAIORES OU IGUAIS A 10,0 M E MENORES QUE 12,0 M, INCLUSO IÇAMENTO. </t>
  </si>
  <si>
    <t xml:space="preserve">Preço total: </t>
  </si>
  <si>
    <t>INSTALAÇÃO DO RAMAL DE LIGAÇÃO ELÉTRICA</t>
  </si>
  <si>
    <t>IFRN 182</t>
  </si>
  <si>
    <t>Parafuso M16 em aço galvanizado, l = 200 mm, diam = 16 mm, cabeça quadrada. Fornecimento e instalação.</t>
  </si>
  <si>
    <t>PARAFUSO M16 EM ACO GALVANIZADO, COMPRIMENTO = 200 MM, DIAMETRO = 16 MM, ROSCA MAQUINA, CABECA QUADRADA</t>
  </si>
  <si>
    <t>Eletricista com encargos complementares</t>
  </si>
  <si>
    <t>mo</t>
  </si>
  <si>
    <t>Auxiliar de eletricista com encargos complementares</t>
  </si>
  <si>
    <t>IFRN 178</t>
  </si>
  <si>
    <t>Parafuso cabeça quadrada 16 x 450 mm. Fornecimento e instalação.</t>
  </si>
  <si>
    <t>Parafuso m16 em aço galvanizado, comprimento = 450mm, diâmetro = 16mm, rosca máquina, cabeça quadrada.</t>
  </si>
  <si>
    <t>IFRN 177</t>
  </si>
  <si>
    <t>Conector tipo cunha sem capa protetora. Fornecimento e instalação.</t>
  </si>
  <si>
    <t>Orse 4150</t>
  </si>
  <si>
    <t>Fornecimento de conector cunha 4 X 4 AWG CAA.</t>
  </si>
  <si>
    <t>IFRN 169</t>
  </si>
  <si>
    <t>QGBT: Quadro metálico de sobrepor, confeccionado em chapa de aço galvanizado, pintura eletrostática, cor bege. Corrente nominal 400A, 380 V, 10KVA, com barras de fase, neutro e terra, em cobre eletrolítico alta pureza. Espaço dimensionado, conforme diagrama.</t>
  </si>
  <si>
    <t>Orse 8071</t>
  </si>
  <si>
    <t xml:space="preserve"> Quadro / Painel em chapa de aço com pintura eletrostática a pó poliester na cor cinza ral, grau de proteção IP 54, com disjuntores, barramentos e acessórios de montagem - 1200 x 800 x 350mm.</t>
  </si>
  <si>
    <t>Orse 8401</t>
  </si>
  <si>
    <t>Barra chata de cobre 2" x 3/8"</t>
  </si>
  <si>
    <t>Orse 9490</t>
  </si>
  <si>
    <t>Barra chata de cobre  3/4" X 3/16"</t>
  </si>
  <si>
    <t>TUBO DE BORRACHA ELASTOMERICA FLEXIVEL, PRETA, PARA ISOLAMENTO TERMICO DE TUBULACAO, DN 1" (25 MM), E= 32 MM, COEFICIENTE DE CONDUTIVIDADE TERMICA 0,036W/mK, VAPOR DE AGUA MAIOR OU IGUAL A 10.000</t>
  </si>
  <si>
    <t>Orse 4862</t>
  </si>
  <si>
    <t>Isolador Epoxi BT 15 x 25</t>
  </si>
  <si>
    <t>Orse 9313</t>
  </si>
  <si>
    <t>Parafuso auto-atarrachante 1 1/2" x 1/4"</t>
  </si>
  <si>
    <t>Orse 13323</t>
  </si>
  <si>
    <t>Porca sextavada 1/4", bicromatizada</t>
  </si>
  <si>
    <t>Orse 13327</t>
  </si>
  <si>
    <t>Arruela de pressão bicromatizada 1/4"</t>
  </si>
  <si>
    <t>Orse 4497</t>
  </si>
  <si>
    <t>Transformador de corrente 400/ 5A</t>
  </si>
  <si>
    <t xml:space="preserve"> </t>
  </si>
  <si>
    <t>Orse 6312</t>
  </si>
  <si>
    <t>Medidor digital multigrandezas elétricas</t>
  </si>
  <si>
    <t>Orse 9496</t>
  </si>
  <si>
    <t>Chapa de acrílico 3mm</t>
  </si>
  <si>
    <t>IFRN 181</t>
  </si>
  <si>
    <t>Interconexão aérea da rede COSERN/ subestação IFRN em linha viva 13,8 Kv</t>
  </si>
  <si>
    <t>IFRN 174</t>
  </si>
  <si>
    <t>Extenção de rede aérea 13,8kV em poste de concreto duplo T 11/300, cruzeta de concreto, isoladores, cabo de alumínio com alma de aço 4 AWG. Fornecimento e instalação.</t>
  </si>
  <si>
    <t>POSTE DE CONCRETO CIRCULAR, 300KG, H = 11M DE ACORDO COM NBR 8451</t>
  </si>
  <si>
    <t>CRUZETA DE CONCRETO LEVE COMP. 2000 MM SECAO 90 X 90 MM</t>
  </si>
  <si>
    <t>ISOLADOR TENSAO P/ 15KV - 6" DISCO CAVILHA</t>
  </si>
  <si>
    <t>CABO DE ALUMINIO NU COM ALMA DE ACO, BITOLA 4 AWG</t>
  </si>
  <si>
    <t>HASTE DE ATERRAMENTO, DN 5/8 X 3000MM, EM ACO REVESTIDO COM UMA CAMADA DE COBRE ELETROLÍTICO.</t>
  </si>
  <si>
    <t>CABO DE COBRE NU 35MM2 MEIO-DURO</t>
  </si>
  <si>
    <t>Orse 2457</t>
  </si>
  <si>
    <t>Caminhão guindauto 8,5 t (m.benz - l 1620/51- 1840 hp</t>
  </si>
  <si>
    <t>ELETRICISTA INDUSTRIAL COM ENCARGOS COMPLEMENTARES</t>
  </si>
  <si>
    <t>MOTORISTA OPERADOR DE MUNCK COM ENCARGOS COMPLEMENTARES</t>
  </si>
  <si>
    <t xml:space="preserve">Preço Total: </t>
  </si>
  <si>
    <t>IFRN 013</t>
  </si>
  <si>
    <t>Mobilização e desmobilização</t>
  </si>
  <si>
    <t xml:space="preserve">CAMINHONETE CABINE SIMPLES COM MOTOR 1.6 FLEX, CÂMBIO MANUAL, POTÊNCIA 101/104 CV, 2 PORTAS - CHP DIURNO. </t>
  </si>
  <si>
    <t>MOTORISTA DE VEÍCULO LEVE COM ENCARGOS COMPLEMENTARES</t>
  </si>
  <si>
    <t>______________________________________</t>
  </si>
  <si>
    <t>Roselaine Solon Medeiros</t>
  </si>
  <si>
    <t>Engenheira Civil - Crea/RN 210.463.410-5</t>
  </si>
  <si>
    <t>IFRN - Mat. 1734715</t>
  </si>
  <si>
    <t>IFRN - 30</t>
  </si>
  <si>
    <t>Teste de vazão de poços profundos</t>
  </si>
  <si>
    <t>PREÇO</t>
  </si>
  <si>
    <t>PREÇO TOTAL</t>
  </si>
  <si>
    <t>COMPRESSOR DE AR REBOCÁVEL, VAZÃO 189 PCM, PRESSÃO EFETIVA DE TRABALHO 102 PSI, MOTOR DIESEL, POTÊNCIA 63 CV - CHP DIURNO.</t>
  </si>
  <si>
    <t>COMPRESSOR DE AR REBOCÁVEL, VAZÃO 189 PCM, PRESSÃO EFETIVA DE TRABALHO 102 PSI, MOTOR DIESEL, POTÊNCIA 63 CV - CHI DIURNO.</t>
  </si>
  <si>
    <t>chi</t>
  </si>
  <si>
    <t>COMPRESSOR DE AR REBOCÁVEL, VAZÃO 189 PCM, PRESSÃO EFETIVA DE TRABALHO 102 PSI, MOTOR DIESEL, POTÊNCIA 63 CV - MANUTENÇÃO.</t>
  </si>
  <si>
    <t>COMPRESSOR DE AR REBOCÁVEL, VAZÃO 189 PCM, PRESSÃO EFETIVA DE TRABALHO 102 PSI, MOTOR DIESEL, POTÊNCIA 63 CV - MATERIAIS NA OPERAÇÃO.</t>
  </si>
  <si>
    <t>COMPRESSOR DE AR REBOCÁVEL, VAZÃO 189 PCM, PRESSÃO EFETIVA DE TRABALHO 102 PSI, MOTOR DIESEL, POTÊNCIA 63 CV - DEPRECIAÇÃO.</t>
  </si>
  <si>
    <t>COMPRESSOR DE AR REBOCÁVEL, VAZÃO 189 PCM, PRESSÃO EFETIVA DE TRABALHO 102 PSI, MOTOR DIESEL, POTÊNCIA 63 CV - JUROS.</t>
  </si>
  <si>
    <t>OPERADOR DE COMPRESSOR OU COMPRESSORISTA COM ENCARGOS COMPLEMENTARES</t>
  </si>
  <si>
    <t>CAMINHÃO TOCO, PBT 16.000 KG, CARGA ÚTIL MÁX. 10.685 KG, DIST. ENTRE EIXOS 4,8 M, POTÊNCIA 189 CV, INCLUSIVE CARROCERIA FIXA ABERTA DE MADEIRA P/ TRANSPORTE GERAL DE CARGA SECA, DIMEN. APROX. 2,5 X 7,00 X 0,50 M - CHP DIURNO.</t>
  </si>
  <si>
    <t>CAMINHÃO TOCO, PBT 16.000 KG, CARGA ÚTIL MÁX. 10.685 KG, DIST. ENTRE EIXOS 4,8 M, POTÊNCIA 189 CV, INCLUSIVE CARROCERIA FIXA ABERTA DE MADEIRA P/ TRANSPORTE GERAL DE CARGA SECA, DIMEN. APROX. 2,5 X 7,00 X 0,50 M - CHI DIURNO.</t>
  </si>
  <si>
    <r>
      <t>Taxa de Incidência de Impostos</t>
    </r>
    <r>
      <rPr>
        <sz val="12"/>
        <color rgb="FF000000"/>
        <rFont val="Times New Roman"/>
        <family val="1"/>
      </rPr>
      <t xml:space="preserve"> (COFINS + ISS + PIS + CPRB)</t>
    </r>
  </si>
  <si>
    <t>CPRB - CONTRIBUIÇÃO PREVIDENCIÁRIA SOBRE RENDA BRUTA</t>
  </si>
  <si>
    <t>Legenda:                                                            LIMITES DOS VALORES, CONFORME ITEM 9 DO ACÓRDÃO:</t>
  </si>
  <si>
    <t>COFINS = 3,00%;       PIS = 0,65%;        ISS = 2,00% a 5,00%;           CPRB = 4,50%.</t>
  </si>
  <si>
    <t xml:space="preserve"> 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- reduzida em relação à taxa aplicável aos demais itens."</t>
  </si>
  <si>
    <r>
      <rPr>
        <b/>
        <sz val="12"/>
        <color rgb="FF000000"/>
        <rFont val="Times New Roman"/>
        <family val="1"/>
      </rPr>
      <t>OBSERVAÇÃO:</t>
    </r>
    <r>
      <rPr>
        <sz val="12"/>
        <color rgb="FF000000"/>
        <rFont val="Times New Roman"/>
        <family val="1"/>
      </rPr>
      <t xml:space="preserve">
DE ACORDO COM O ACÓRDÃO n°2.622/2013, A TAXA DE ADMINISTRAÇÃO LOCAL DA OBRA VARIA ENTRE </t>
    </r>
    <r>
      <rPr>
        <b/>
        <sz val="12"/>
        <color rgb="FF000000"/>
        <rFont val="Times New Roman"/>
        <family val="1"/>
      </rPr>
      <t>3,49%</t>
    </r>
    <r>
      <rPr>
        <sz val="12"/>
        <color rgb="FF000000"/>
        <rFont val="Times New Roman"/>
        <family val="1"/>
      </rPr>
      <t xml:space="preserve"> A </t>
    </r>
    <r>
      <rPr>
        <b/>
        <sz val="12"/>
        <color rgb="FF000000"/>
        <rFont val="Times New Roman"/>
        <family val="1"/>
      </rPr>
      <t>8,87%</t>
    </r>
    <r>
      <rPr>
        <sz val="12"/>
        <color rgb="FF000000"/>
        <rFont val="Times New Roman"/>
        <family val="1"/>
      </rPr>
      <t>.</t>
    </r>
  </si>
  <si>
    <t>_________________________________________</t>
  </si>
  <si>
    <t>Obra:</t>
  </si>
  <si>
    <t>Local:</t>
  </si>
  <si>
    <t>CRONOGRAMA FISICO FINANCEIRO</t>
  </si>
  <si>
    <t>1º mês</t>
  </si>
  <si>
    <t>2º mês</t>
  </si>
  <si>
    <t>3º mês</t>
  </si>
  <si>
    <t>TOTAIS</t>
  </si>
  <si>
    <t>Tereza Catrina Ferreira Fernandes</t>
  </si>
  <si>
    <t>Engenheira Civil - Crea 2118242859</t>
  </si>
  <si>
    <t>IFRN - Mat. 3103136</t>
  </si>
  <si>
    <t>PLACA PADRÃO DE OBRA, TIPO BANNER</t>
  </si>
  <si>
    <t>Seinfra C4541</t>
  </si>
  <si>
    <t>CARGA, MANOBRA E DESCARGA DE ENTULHO EM CAMINHÃO BASCULANTE 10 M³ - CARGA COM ESCAVADEIRA HIDRÁULICA (CAÇAMBA DE 0,80 M³ / 111 HP) E DESCARGA LIVRE (UNIDADE: M3). AF_07/2020</t>
  </si>
  <si>
    <t>100982</t>
  </si>
  <si>
    <t>ALVENARIA DE EMBASAMENTO COM BLOCO ESTRUTURAL DE CERÂMICA, DE 14X19X29CM E ARGAMASSA DE ASSENTAMENTO COM PREPARO EM BETONEIRA. AF_05/2020</t>
  </si>
  <si>
    <t>101166</t>
  </si>
  <si>
    <t>ELABORAÇÃO DE RELATÓRIO "AS BUILT"</t>
  </si>
  <si>
    <t>Seinfra 1083</t>
  </si>
  <si>
    <t>Data:</t>
  </si>
  <si>
    <t>1.2</t>
  </si>
  <si>
    <t>CHAPA DE MADEIRA COMPENSADA NAVAL (COM COLA FENOLICA), E = 25 MM, DE *1,60 X 2,20* M</t>
  </si>
  <si>
    <t>4.2</t>
  </si>
  <si>
    <t>TELHAMENTO COM TELHA CERÂMICA CAPA-CANAL, TIPO COLONIAL, COM ATÉ 2 ÁGUAS, INCLUSO TRANSPORTE VERTICAL. AF_07/2019</t>
  </si>
  <si>
    <t>94201</t>
  </si>
  <si>
    <t>MOVIMENTO DE TERRA</t>
  </si>
  <si>
    <t>INFRA-ESTRUTURA / FUNDAÇÃO SIMPLES</t>
  </si>
  <si>
    <t xml:space="preserve">PISO </t>
  </si>
  <si>
    <t>4º mês</t>
  </si>
  <si>
    <t>5º mês</t>
  </si>
  <si>
    <t>2.8</t>
  </si>
  <si>
    <t>UNIT C/BDI NÃO DESONERADO</t>
  </si>
  <si>
    <t>UNIT C/BDI DESONERADO</t>
  </si>
  <si>
    <t>TOTAL DESONERADO</t>
  </si>
  <si>
    <t>UNIT DESONERADO</t>
  </si>
  <si>
    <t>UNIT NÃO DESONERADO</t>
  </si>
  <si>
    <t>m132</t>
  </si>
  <si>
    <t>m131</t>
  </si>
  <si>
    <t>PR. UNIT. DESONERADO</t>
  </si>
  <si>
    <t>PR. UNIT. NÃO DESONERADO</t>
  </si>
  <si>
    <t>2.9</t>
  </si>
  <si>
    <t>Sistema de Proteção Contra Descargas Atmosféricas - SPDA</t>
  </si>
  <si>
    <t>LOCAL</t>
  </si>
  <si>
    <t>ESTRUTURA</t>
  </si>
  <si>
    <t>COMPRIMENTO</t>
  </si>
  <si>
    <t>LARGURA</t>
  </si>
  <si>
    <t>Bovinocultura</t>
  </si>
  <si>
    <t>Areia</t>
  </si>
  <si>
    <t>Volume</t>
  </si>
  <si>
    <t>PROF</t>
  </si>
  <si>
    <t>Casa Reprodutores</t>
  </si>
  <si>
    <t>Lab Peq Ruminantes</t>
  </si>
  <si>
    <t>Ovino</t>
  </si>
  <si>
    <t>Caprino</t>
  </si>
  <si>
    <t>Contornos Fazenda</t>
  </si>
  <si>
    <t>Adm DIGUAE</t>
  </si>
  <si>
    <t>Sala ordenha e apoio</t>
  </si>
  <si>
    <t xml:space="preserve">Aviário 1 e 2 </t>
  </si>
  <si>
    <t>Fábrica Rações</t>
  </si>
  <si>
    <t>Calçamento</t>
  </si>
  <si>
    <t>Pocilga</t>
  </si>
  <si>
    <t>concreto</t>
  </si>
  <si>
    <t>areia</t>
  </si>
  <si>
    <t>Vestiário e estac 1</t>
  </si>
  <si>
    <t>Estac 1</t>
  </si>
  <si>
    <t>calçamento</t>
  </si>
  <si>
    <t>Piscina</t>
  </si>
  <si>
    <t>Usina fotovoltaica</t>
  </si>
  <si>
    <t>Ginásio</t>
  </si>
  <si>
    <t>Garagem</t>
  </si>
  <si>
    <t>Almoxarifado</t>
  </si>
  <si>
    <t>Gerador 2</t>
  </si>
  <si>
    <t>97635</t>
  </si>
  <si>
    <t>DEMOLIÇÃO DE PAVIMENTO INTERTRAVADO, DE FORMA MANUAL, COM REAPROVEITAMENTO. AF_12/2017</t>
  </si>
  <si>
    <t>DEMOLIÇÃO DE REVESTIMENTO CERÂMICO, DE FORMA MECANIZADA COM MARTELETE, SEM REAPROVEITAMENTO. AF_12/2017</t>
  </si>
  <si>
    <t>97634</t>
  </si>
  <si>
    <t>DEMOLIÇÃO DE CONCRETO SIMPLES</t>
  </si>
  <si>
    <t>Seinfra C1049</t>
  </si>
  <si>
    <t>EXECUÇÃO DE PAVIMENTO EM PISO INTERTRAVADO, COM BLOCO SEXTAVADO DE 25 X 25 CM, ESPESSURA 8 CM. AF_10/2022</t>
  </si>
  <si>
    <t>92394</t>
  </si>
  <si>
    <t xml:space="preserve">	REASSENTAMENTO DE PARALELEPÍPEDOS, REJUNTAMENTO COM ARGAMASSA, COM REAPROVEITAMENTO DOS PARALELEPÍPEDOS - INCLUSO RETIRADA E COLOCAÇÃO DO MATERIAL. AF_12/2020</t>
  </si>
  <si>
    <t>101852</t>
  </si>
  <si>
    <t>PISO PODOTÁTIL DE ALERTA OU DIRECIONAL, DE BORRACHA, ASSENTADO SOBRE ARGAMASSA. AF_05/2020</t>
  </si>
  <si>
    <t xml:space="preserve">	REVESTIMENTO CERÂMICO PARA PISO COM PLACAS TIPO ESMALTADA EXTRA DE DIMENSÕES 45X45 CM APLICADA EM AMBIENTES DE ÁREA MAIOR QUE 10 M2. AF_02/2023_PE</t>
  </si>
  <si>
    <t>CONCRETAGEM DE RADIER, PISO DE CONCRETO OU LAJE SOBRE SOLO, FCK 30 MPA - LANÇAMENTO, ADENSAMENTO E ACABAMENTO. AF_09/2021</t>
  </si>
  <si>
    <t>97096</t>
  </si>
  <si>
    <t>(REVISADA) - PASSEIO EM PLACAS PRE-MOLDADAS DE CONCRETO ARMADO</t>
  </si>
  <si>
    <t>Embasa 18.01.10</t>
  </si>
  <si>
    <t>101094</t>
  </si>
  <si>
    <t>87251</t>
  </si>
  <si>
    <t>Cabo de cobre nú 50 mm2 - fornecimento e assentamento (2,27m/kg)</t>
  </si>
  <si>
    <t>HASTE DE ATERRAMENTO 5/8  PARA SPDA - FORNECIMENTO E INSTALAÇÃO. AF_12/2017</t>
  </si>
  <si>
    <t>UN</t>
  </si>
  <si>
    <t>CONEXAO EXOTERMICA CABO/CABO</t>
  </si>
  <si>
    <t>CONEXAO EXOTERMICA CABO/HASTE</t>
  </si>
  <si>
    <t>Caixa inspeção em poliamida 150x110x70mm, bocal 1" (DN 32mm), ref: TEL-541 (SPDA)</t>
  </si>
  <si>
    <t>un</t>
  </si>
  <si>
    <t>Caixa de equalização p/aterramento 20x20x10cm de sobrepor p/11 terminais de pressão c/barramento</t>
  </si>
  <si>
    <t>Conector de medição em bronze c/4 parafusos p/cabos de cobre 16-70mm² ref.TEL-560 (pára-raio)</t>
  </si>
  <si>
    <t>Un</t>
  </si>
  <si>
    <t>Dispositivo de proteção contra surto de tensão DPS 40/20kA - 175v Classe II</t>
  </si>
  <si>
    <t>Dispositivo de proteção contra surto de tensão DPS 60kA - 275v</t>
  </si>
  <si>
    <t xml:space="preserve"> 96989 </t>
  </si>
  <si>
    <t>CAPTOR TIPO FRANKLIN PARA SPDA - FORNECIMENTO E INSTALAÇÃO. AF_12/2017</t>
  </si>
  <si>
    <t>Poste circular de concreto 12/400 - Fornecimento e assentamento</t>
  </si>
  <si>
    <t>Cabo de aluminio nu acsr/caa 6 fios - 2/0 awg - fornecimento</t>
  </si>
  <si>
    <t>Pára-raio tipo Franklin 350mm, latão cromado, para descida 2 cabos, c/suporte e conectores p/cabo terra,  inclusive mastro aço galv 6mx2" e base</t>
  </si>
  <si>
    <t>Cabo de cobre nú 35 mm2 - fornecimento e assentamento (3,16m/kg)</t>
  </si>
  <si>
    <t>Suporte guia simples Tel-220</t>
  </si>
  <si>
    <t>Captor tipo terminal aéreo, h= 300 mm, diâmetro de 1/4´ em cobre</t>
  </si>
  <si>
    <t>Conector split bolt em latão estanhado com furo vertical Ø=10mm, para cabos 35 a 70mm2 - TEL-5021</t>
  </si>
  <si>
    <t xml:space="preserve"> 8082 - ORSE </t>
  </si>
  <si>
    <t xml:space="preserve">FDE 09.13.032 </t>
  </si>
  <si>
    <t xml:space="preserve">FDE  09.13.033 </t>
  </si>
  <si>
    <t xml:space="preserve">ORSE 10728 </t>
  </si>
  <si>
    <t xml:space="preserve">ORSE 9051 </t>
  </si>
  <si>
    <t xml:space="preserve">ORSE 9048 </t>
  </si>
  <si>
    <t xml:space="preserve">ORSE 13174 </t>
  </si>
  <si>
    <t xml:space="preserve">ORSE 9041 </t>
  </si>
  <si>
    <t xml:space="preserve">ORSE 3185 </t>
  </si>
  <si>
    <t xml:space="preserve">ORSE 2847 </t>
  </si>
  <si>
    <t xml:space="preserve">ORSE 11005 </t>
  </si>
  <si>
    <t xml:space="preserve">ORSE 9392 </t>
  </si>
  <si>
    <t xml:space="preserve">ORSE 10903 </t>
  </si>
  <si>
    <t xml:space="preserve">CPOS 42.01.090 </t>
  </si>
  <si>
    <t xml:space="preserve">ORSE 12681 </t>
  </si>
  <si>
    <t>ENGENHEIRO ELETRICISTA COM ENCARGOS COMPLEMENTARES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</si>
  <si>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</si>
  <si>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</si>
  <si>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</si>
  <si>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</si>
  <si>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</si>
  <si>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</si>
  <si>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</si>
  <si>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</si>
  <si>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</si>
  <si>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</si>
  <si>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</si>
  <si>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</si>
  <si>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</si>
  <si>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</si>
  <si>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7.3</t>
  </si>
  <si>
    <t>7.4</t>
  </si>
  <si>
    <t>7.5</t>
  </si>
  <si>
    <t>7.6</t>
  </si>
  <si>
    <t>7.7</t>
  </si>
  <si>
    <t>PINTURA COM TINTA ALQUÍDICA DE ACABAMENTO (ESMALTE SINTÉTICO ACETINADO) APLICADA A ROLO OU PINCEL SOBRE SUPERFÍCIES METÁLICAS (EXCETO PERFIL) EXECUTADO EM OBRA (02 DEMÃOS). AF_01/2020</t>
  </si>
  <si>
    <t>100758</t>
  </si>
  <si>
    <t>Bloco lab 01</t>
  </si>
  <si>
    <t>cerâmica</t>
  </si>
  <si>
    <t>Calçada lab + vivencia</t>
  </si>
  <si>
    <t>placa pre moldada</t>
  </si>
  <si>
    <t>Bloco lab 2</t>
  </si>
  <si>
    <t>Ateliê</t>
  </si>
  <si>
    <t>Contorno predio principal</t>
  </si>
  <si>
    <t>Pátio interno</t>
  </si>
  <si>
    <t>placa concreto</t>
  </si>
  <si>
    <t>Calçada lateral bloco 2</t>
  </si>
  <si>
    <t>bloco cosgem e professores</t>
  </si>
  <si>
    <t>Bloco 2</t>
  </si>
  <si>
    <t>bloco 2</t>
  </si>
  <si>
    <t>Salas novas</t>
  </si>
  <si>
    <t xml:space="preserve">casa bomba </t>
  </si>
  <si>
    <t>AREIA</t>
  </si>
  <si>
    <t>CALÇAMENTO</t>
  </si>
  <si>
    <t>CONCRETO</t>
  </si>
  <si>
    <t>M²</t>
  </si>
  <si>
    <t>Placa concreto</t>
  </si>
  <si>
    <t>CERÂMICA</t>
  </si>
  <si>
    <t>PLACA PRÉ-MOLDADA</t>
  </si>
  <si>
    <t>CONSTRUÇÃO</t>
  </si>
  <si>
    <t>DEMOLIÇÃO</t>
  </si>
  <si>
    <t xml:space="preserve">m </t>
  </si>
  <si>
    <t>TOTAL NÃO DESONERADO</t>
  </si>
  <si>
    <t>6º mês</t>
  </si>
  <si>
    <t>7º mês</t>
  </si>
  <si>
    <t xml:space="preserve">TOTAL </t>
  </si>
  <si>
    <t>5.2</t>
  </si>
  <si>
    <t>EMBOÇAMENTO COM ARGAMASSA TRAÇO 1:2:9 (CIMENTO, CAL E AREIA). AF_07/2019</t>
  </si>
  <si>
    <t>94224</t>
  </si>
  <si>
    <t>EXECUÇÃO DE PASSEIO (CALÇADA) OU PISO DE CONCRETO COM CONCRETO MOLDADO IN LOCO, FEITO EM OBRA, ACABAMENTO CONVENCIONAL, NÃO ARMADO. AF_08/2022</t>
  </si>
  <si>
    <t>94990</t>
  </si>
  <si>
    <t>Descidas</t>
  </si>
  <si>
    <t>NÃO DESONERADO</t>
  </si>
  <si>
    <t>DESONERADO</t>
  </si>
  <si>
    <t>PESO</t>
  </si>
  <si>
    <t>OBSERVAÇÕES IMPORTANTES:</t>
  </si>
  <si>
    <t>OBS 1:</t>
  </si>
  <si>
    <t>OBS 2:</t>
  </si>
  <si>
    <t>OBS 3:</t>
  </si>
  <si>
    <t xml:space="preserve">A planilha base utilizada foi a planilha SINAPI 03/2023. </t>
  </si>
  <si>
    <t>Planilha orçamentária com encargos desonerados = 84,67% (h) e 46,90% (mês); e BDI = 28,82%:</t>
  </si>
  <si>
    <t>Planilha orçamentária sem encargos desonerados = 114,27% (h) e 70,53% (mês); e BDI = 22,47%</t>
  </si>
  <si>
    <t>Diferença Percentual</t>
  </si>
  <si>
    <t>91871</t>
  </si>
  <si>
    <t>ELETRODUTO RÍGIDO ROSCÁVEL, PVC, DN 25 MM (3/4"), PARA CIRCUITOS TERMINAIS, INSTALADO EM PAREDE - FORNECIMENTO E INSTALAÇÃO. AF_03/2023</t>
  </si>
  <si>
    <t>101880</t>
  </si>
  <si>
    <t>QUADRO DE DISTRIBUIÇÃO DE ENERGIA EM CHAPA DE AÇO GALVANIZADO, DE EMBUTIR, COM BARRAMENTO TRIFÁSICO, PARA 30 DISJUNTORES DIN 150A - FORNECIMENTO E INSTALAÇÃO. AF_10/2020</t>
  </si>
  <si>
    <t>UM</t>
  </si>
  <si>
    <t>6.19</t>
  </si>
  <si>
    <t xml:space="preserve">und </t>
  </si>
  <si>
    <t>Locação de container - Almoxarifado sem banheiro - 6,00 x 2,40m - Rev 02_02/2022</t>
  </si>
  <si>
    <t>Orse 4654</t>
  </si>
  <si>
    <t>Andaime tubular metálico simples - peça x dia</t>
  </si>
  <si>
    <t>PxD</t>
  </si>
  <si>
    <t>Montagem e desmontagem de andaime metálico tubular simples</t>
  </si>
  <si>
    <t>pc</t>
  </si>
  <si>
    <t>2.10</t>
  </si>
  <si>
    <t>2.11</t>
  </si>
  <si>
    <t>orse 2454</t>
  </si>
  <si>
    <t>orse 4738</t>
  </si>
  <si>
    <t>Eletrotécnico (mensalista)</t>
  </si>
  <si>
    <t>m. o.</t>
  </si>
  <si>
    <t>Mês</t>
  </si>
  <si>
    <t>Casa do Mel</t>
  </si>
  <si>
    <t>Viveiro</t>
  </si>
  <si>
    <t>Poço 2</t>
  </si>
  <si>
    <t>Poço 3</t>
  </si>
  <si>
    <t>gerador 3</t>
  </si>
  <si>
    <t>Concreto</t>
  </si>
  <si>
    <t>6.20</t>
  </si>
  <si>
    <t>6.21</t>
  </si>
  <si>
    <t>Fornecimento de elo fusível tipo 10k, comp.= 500mm</t>
  </si>
  <si>
    <t>Orse 2868</t>
  </si>
  <si>
    <t>Fornecimento de elo fusível tipo 2 h, comp.= 500mm</t>
  </si>
  <si>
    <t>Orse 2869</t>
  </si>
  <si>
    <t>Fornecimento de elo fusível tipo 3 h, comp.= 500mm</t>
  </si>
  <si>
    <t>Orse 2870</t>
  </si>
  <si>
    <t>Fornecimento de chave fusível 15kv - 100a, ruptura assim. 10 ka</t>
  </si>
  <si>
    <t>Orse 2858</t>
  </si>
  <si>
    <t>6.22</t>
  </si>
  <si>
    <t>6.23</t>
  </si>
  <si>
    <t>6.24</t>
  </si>
  <si>
    <t>Média</t>
  </si>
  <si>
    <t>Elo Fusível Distribuição 15kV 40K 500mm</t>
  </si>
  <si>
    <t>Cotação 01</t>
  </si>
  <si>
    <t>Cotação 02</t>
  </si>
  <si>
    <t>Cotação 03</t>
  </si>
  <si>
    <t>https://eloja.eletrotecnicaveracruz.com.br/produtos/elo-fusivel-distribuicao-15kv-40k-500mm-10-pecas/</t>
  </si>
  <si>
    <t>https://www.leroymerlin.com.br/elo-fusivel-distribuicao-ate-36,2kv-40k-500mm-5-pecas_1570433151</t>
  </si>
  <si>
    <t>Elo Fusível Distribuição Até 36,2kv 40k 500mm</t>
  </si>
  <si>
    <t>Elo Fusível Distribuição Classe 15kv 40k 500mm</t>
  </si>
  <si>
    <t>https://produto.mercadolivre.com.br/MLB-860204059-elo-fusivel-distribuico-classe-15kv-40k-500mm-10-pecas-_JM</t>
  </si>
  <si>
    <t>Elo fusível Distribuição 15kV 40k 500mm</t>
  </si>
  <si>
    <t>VARA DE MANOBRA DE FENOLITE EM 15KV, COM PRIMENTO DE 3M</t>
  </si>
  <si>
    <t>EMOP 05668</t>
  </si>
  <si>
    <t>6.25</t>
  </si>
  <si>
    <t>Para os serviços não existentes no SINAPI considerou-se a planilha 27 da Secretaria de Infraestrutura do Ceará - SEINFRA, a planilha de 02/2023 do Orçamento de Obras de Sergipe - ORSE, EMBASA 01/2023,  FDE 01/2023, CPOS 03/2023, EMOP 04/2022, ou foram elaboradas composições próprias com a nomenclatura IFRN com os preços dos seus insumos retirados da planilha de insumos do SINAPI do mês de 03/2023.</t>
  </si>
  <si>
    <t>Natal/RN, 26 de maio de 2023</t>
  </si>
  <si>
    <t>Quadro de distribuição de sobrepor, em resina termoplástica, para até 08 disjuntores, sem barramento, padrão DIN, exclusive disjuntores</t>
  </si>
  <si>
    <t>Orse 12239</t>
  </si>
  <si>
    <t>6.26</t>
  </si>
  <si>
    <t>28.000 m²</t>
  </si>
  <si>
    <t>COFINS = 3,00%;       PIS = 0,65%;        ISS = 2,00% a 5,00%;           CPRB = 0,00%.</t>
  </si>
  <si>
    <t>BDI NÃO DESONERADO</t>
  </si>
  <si>
    <t>BDI DESONERADO</t>
  </si>
  <si>
    <t>Valor</t>
  </si>
  <si>
    <t>valor</t>
  </si>
  <si>
    <t>Quant</t>
  </si>
  <si>
    <t>Valor unit</t>
  </si>
  <si>
    <t>Fonte da Pesquisa de Preço</t>
  </si>
  <si>
    <t>Preço total para 7 meses:</t>
  </si>
  <si>
    <t>M³</t>
  </si>
  <si>
    <t>Administração local da obra para cronograma de 7 meses, em conformidade com o Acórdão n°2.622/2013, com vairação da taxa entre 3,49% e 8,87%.</t>
  </si>
  <si>
    <t>Foi avaliado o regime tributário mais vantajoso para a contratação, simulando esta planilha orçamentária nas duas condições possíveis de recolhimento da contribuição previdenciária pelas empresas, ou seja, com encargos desonerados ou sem desoneração; e para este caso, considerou-se na elaboração da planilha orçamentária e de composições de custos os Encargos Sem Desoneração, por este ser 1,70% mais mais vantajoso que o outro, conforme os valores totais abaixo:</t>
  </si>
  <si>
    <t>ÁREA INTERVENÇÃO REDUZIDA PARA:</t>
  </si>
  <si>
    <t xml:space="preserve"> ÁREA TOTAL </t>
  </si>
  <si>
    <t>22.000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</si>
</sst>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\ %"/>
    <numFmt numFmtId="166" formatCode="#,##0.000000"/>
    <numFmt numFmtId="167" formatCode="_(&quot;R$ &quot;* #,##0.00_);_(&quot;R$ &quot;* \(#,##0.00\);_(&quot;R$ &quot;* &quot;-&quot;??_);_(@_)"/>
    <numFmt numFmtId="168" formatCode="_(* #,##0.00_);_(* \(#,##0.00\);_(* \-??_);_(@_)"/>
    <numFmt numFmtId="169" formatCode="_(* #,##0.00_);_(* \(#,##0.00\);_(* &quot;-&quot;??_);_(@_)"/>
    <numFmt numFmtId="170" formatCode="_-&quot;R$&quot;* #,##0.00_-;\-&quot;R$&quot;* #,##0.00_-;_-&quot;R$&quot;* &quot;-&quot;??_-;_-@"/>
    <numFmt numFmtId="171" formatCode="0.000"/>
    <numFmt numFmtId="172" formatCode="#,##0.0000"/>
    <numFmt numFmtId="173" formatCode="_-* #,##0.0000_-;\-* #,##0.0000_-;_-* &quot;-&quot;??_-;_-@"/>
    <numFmt numFmtId="174" formatCode="_-&quot;R$&quot;\ * #,##0.00_-;\-&quot;R$&quot;\ * #,##0.00_-;_-&quot;R$&quot;\ * &quot;-&quot;??_-;_-@"/>
  </numFmts>
  <fonts count="48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rgb="FF000000"/>
      <name val="Calibri"/>
      <family val="2"/>
      <scheme val="minor"/>
    </font>
    <font>
      <sz val="9"/>
      <name val="Arial"/>
      <family val="1"/>
    </font>
    <font>
      <b/>
      <sz val="10"/>
      <name val="Arial"/>
      <family val="2"/>
    </font>
    <font>
      <sz val="8"/>
      <name val="Arial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2060"/>
      <name val="Times New Roman"/>
      <family val="1"/>
    </font>
    <font>
      <sz val="12"/>
      <color rgb="FF1F497D"/>
      <name val="Times New Roman"/>
      <family val="1"/>
    </font>
    <font>
      <sz val="12"/>
      <color rgb="FF244061"/>
      <name val="Times New Roman"/>
      <family val="1"/>
    </font>
    <font>
      <sz val="11"/>
      <color rgb="FF1F497D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12"/>
      <name val="Antic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Arial"/>
      <family val="2"/>
    </font>
    <font>
      <sz val="14"/>
      <name val="Arial"/>
      <family val="1"/>
    </font>
    <font>
      <b/>
      <sz val="14"/>
      <name val="Arial"/>
      <family val="2"/>
    </font>
    <font>
      <u/>
      <sz val="11"/>
      <color theme="10"/>
      <name val="Arial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E6E6E6"/>
        <bgColor rgb="FFE6E6E6"/>
      </patternFill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rgb="FFF2DBDB"/>
      </patternFill>
    </fill>
    <fill>
      <patternFill patternType="solid">
        <fgColor theme="4" tint="0.59999389629810485"/>
        <bgColor rgb="FFC6D9F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548DD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8DB3E2"/>
      </patternFill>
    </fill>
    <fill>
      <patternFill patternType="solid">
        <fgColor theme="9" tint="0.79998168889431442"/>
        <bgColor rgb="FFC6D9F0"/>
      </patternFill>
    </fill>
    <fill>
      <patternFill patternType="solid">
        <fgColor theme="9" tint="0.39997558519241921"/>
        <bgColor rgb="FF548DD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7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 applyFill="0" applyBorder="0" applyAlignment="0" applyProtection="0"/>
    <xf numFmtId="0" fontId="9" fillId="0" borderId="0"/>
    <xf numFmtId="0" fontId="7" fillId="0" borderId="0"/>
    <xf numFmtId="0" fontId="22" fillId="0" borderId="0"/>
    <xf numFmtId="9" fontId="6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/>
  </cellStyleXfs>
  <cellXfs count="575"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13" fillId="0" borderId="0" xfId="0" applyFont="1"/>
    <xf numFmtId="0" fontId="5" fillId="3" borderId="0" xfId="0" applyFont="1" applyFill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9" fillId="0" borderId="7" xfId="0" applyFont="1" applyBorder="1" applyAlignment="1">
      <alignment horizontal="left" vertical="center" wrapText="1"/>
    </xf>
    <xf numFmtId="10" fontId="18" fillId="0" borderId="6" xfId="0" applyNumberFormat="1" applyFont="1" applyBorder="1" applyAlignment="1">
      <alignment horizontal="left" vertical="center" wrapText="1"/>
    </xf>
    <xf numFmtId="0" fontId="22" fillId="0" borderId="0" xfId="10"/>
    <xf numFmtId="2" fontId="7" fillId="0" borderId="0" xfId="10" applyNumberFormat="1" applyFont="1"/>
    <xf numFmtId="0" fontId="7" fillId="0" borderId="0" xfId="10" applyFont="1"/>
    <xf numFmtId="0" fontId="10" fillId="0" borderId="0" xfId="10" applyFont="1" applyAlignment="1">
      <alignment horizontal="left" vertical="center" wrapText="1"/>
    </xf>
    <xf numFmtId="0" fontId="21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24" fillId="7" borderId="6" xfId="10" applyFont="1" applyFill="1" applyBorder="1"/>
    <xf numFmtId="2" fontId="7" fillId="7" borderId="6" xfId="10" applyNumberFormat="1" applyFont="1" applyFill="1" applyBorder="1" applyAlignment="1">
      <alignment wrapText="1"/>
    </xf>
    <xf numFmtId="2" fontId="7" fillId="7" borderId="6" xfId="10" applyNumberFormat="1" applyFont="1" applyFill="1" applyBorder="1"/>
    <xf numFmtId="2" fontId="23" fillId="7" borderId="6" xfId="10" applyNumberFormat="1" applyFont="1" applyFill="1" applyBorder="1"/>
    <xf numFmtId="0" fontId="23" fillId="7" borderId="6" xfId="10" applyFont="1" applyFill="1" applyBorder="1"/>
    <xf numFmtId="2" fontId="7" fillId="7" borderId="6" xfId="10" applyNumberFormat="1" applyFont="1" applyFill="1" applyBorder="1" applyAlignment="1">
      <alignment horizontal="left" vertical="center" wrapText="1"/>
    </xf>
    <xf numFmtId="0" fontId="23" fillId="7" borderId="6" xfId="10" applyFont="1" applyFill="1" applyBorder="1" applyAlignment="1">
      <alignment horizontal="left" vertical="center"/>
    </xf>
    <xf numFmtId="2" fontId="23" fillId="7" borderId="6" xfId="10" applyNumberFormat="1" applyFont="1" applyFill="1" applyBorder="1" applyAlignment="1">
      <alignment horizontal="right" vertical="center"/>
    </xf>
    <xf numFmtId="2" fontId="14" fillId="7" borderId="6" xfId="10" applyNumberFormat="1" applyFont="1" applyFill="1" applyBorder="1"/>
    <xf numFmtId="0" fontId="19" fillId="0" borderId="7" xfId="0" applyFont="1" applyBorder="1" applyAlignment="1">
      <alignment horizontal="left" vertical="center"/>
    </xf>
    <xf numFmtId="167" fontId="26" fillId="0" borderId="0" xfId="10" applyNumberFormat="1" applyFont="1" applyAlignment="1">
      <alignment vertical="center" wrapText="1"/>
    </xf>
    <xf numFmtId="0" fontId="21" fillId="0" borderId="0" xfId="10" applyFont="1" applyAlignment="1">
      <alignment horizontal="left" vertical="center"/>
    </xf>
    <xf numFmtId="0" fontId="21" fillId="0" borderId="0" xfId="10" applyFont="1" applyAlignment="1">
      <alignment vertical="center" wrapText="1"/>
    </xf>
    <xf numFmtId="0" fontId="26" fillId="0" borderId="0" xfId="10" applyFont="1" applyAlignment="1">
      <alignment vertical="center" wrapText="1"/>
    </xf>
    <xf numFmtId="0" fontId="21" fillId="0" borderId="0" xfId="10" applyFont="1" applyAlignment="1">
      <alignment vertical="center"/>
    </xf>
    <xf numFmtId="0" fontId="26" fillId="9" borderId="18" xfId="10" applyFont="1" applyFill="1" applyBorder="1" applyAlignment="1">
      <alignment horizontal="center" vertical="center" wrapText="1"/>
    </xf>
    <xf numFmtId="0" fontId="26" fillId="10" borderId="18" xfId="10" applyFont="1" applyFill="1" applyBorder="1" applyAlignment="1">
      <alignment horizontal="right" vertical="center"/>
    </xf>
    <xf numFmtId="0" fontId="21" fillId="0" borderId="20" xfId="10" applyFont="1" applyBorder="1" applyAlignment="1">
      <alignment horizontal="center" vertical="center" wrapText="1"/>
    </xf>
    <xf numFmtId="0" fontId="21" fillId="0" borderId="22" xfId="10" applyFont="1" applyBorder="1" applyAlignment="1">
      <alignment horizontal="left" vertical="center" wrapText="1"/>
    </xf>
    <xf numFmtId="0" fontId="21" fillId="0" borderId="22" xfId="10" applyFont="1" applyBorder="1" applyAlignment="1">
      <alignment horizontal="center" vertical="center" wrapText="1"/>
    </xf>
    <xf numFmtId="171" fontId="21" fillId="0" borderId="22" xfId="10" applyNumberFormat="1" applyFont="1" applyBorder="1" applyAlignment="1">
      <alignment horizontal="right" vertical="center" wrapText="1"/>
    </xf>
    <xf numFmtId="167" fontId="21" fillId="0" borderId="22" xfId="10" applyNumberFormat="1" applyFont="1" applyBorder="1" applyAlignment="1">
      <alignment horizontal="right" vertical="center" wrapText="1"/>
    </xf>
    <xf numFmtId="167" fontId="26" fillId="12" borderId="18" xfId="10" applyNumberFormat="1" applyFont="1" applyFill="1" applyBorder="1" applyAlignment="1">
      <alignment horizontal="right" vertical="center"/>
    </xf>
    <xf numFmtId="0" fontId="26" fillId="0" borderId="27" xfId="10" applyFont="1" applyBorder="1" applyAlignment="1">
      <alignment horizontal="left" vertical="center" wrapText="1"/>
    </xf>
    <xf numFmtId="0" fontId="26" fillId="10" borderId="18" xfId="10" applyFont="1" applyFill="1" applyBorder="1" applyAlignment="1">
      <alignment horizontal="center" vertical="center" wrapText="1"/>
    </xf>
    <xf numFmtId="167" fontId="21" fillId="0" borderId="22" xfId="10" applyNumberFormat="1" applyFont="1" applyBorder="1" applyAlignment="1">
      <alignment vertical="center"/>
    </xf>
    <xf numFmtId="0" fontId="10" fillId="0" borderId="21" xfId="10" applyFont="1" applyBorder="1" applyAlignment="1">
      <alignment horizontal="center" vertical="center"/>
    </xf>
    <xf numFmtId="171" fontId="10" fillId="0" borderId="22" xfId="10" applyNumberFormat="1" applyFont="1" applyBorder="1" applyAlignment="1">
      <alignment horizontal="right" vertical="center"/>
    </xf>
    <xf numFmtId="167" fontId="21" fillId="0" borderId="29" xfId="10" applyNumberFormat="1" applyFont="1" applyBorder="1" applyAlignment="1">
      <alignment horizontal="right" vertical="center" wrapText="1"/>
    </xf>
    <xf numFmtId="0" fontId="10" fillId="0" borderId="22" xfId="10" applyFont="1" applyBorder="1" applyAlignment="1">
      <alignment vertical="center" wrapText="1"/>
    </xf>
    <xf numFmtId="0" fontId="28" fillId="0" borderId="21" xfId="10" applyFont="1" applyBorder="1" applyAlignment="1">
      <alignment horizontal="center" vertical="center"/>
    </xf>
    <xf numFmtId="0" fontId="28" fillId="0" borderId="22" xfId="10" applyFont="1" applyBorder="1" applyAlignment="1">
      <alignment vertical="center" wrapText="1"/>
    </xf>
    <xf numFmtId="0" fontId="28" fillId="0" borderId="31" xfId="10" applyFont="1" applyBorder="1" applyAlignment="1">
      <alignment horizontal="center" vertical="center" wrapText="1"/>
    </xf>
    <xf numFmtId="4" fontId="28" fillId="0" borderId="31" xfId="10" applyNumberFormat="1" applyFont="1" applyBorder="1" applyAlignment="1">
      <alignment horizontal="center" vertical="center"/>
    </xf>
    <xf numFmtId="171" fontId="28" fillId="0" borderId="22" xfId="10" applyNumberFormat="1" applyFont="1" applyBorder="1" applyAlignment="1">
      <alignment horizontal="right" vertical="center"/>
    </xf>
    <xf numFmtId="167" fontId="28" fillId="0" borderId="22" xfId="10" applyNumberFormat="1" applyFont="1" applyBorder="1" applyAlignment="1">
      <alignment vertical="center"/>
    </xf>
    <xf numFmtId="167" fontId="28" fillId="0" borderId="29" xfId="10" applyNumberFormat="1" applyFont="1" applyBorder="1" applyAlignment="1">
      <alignment horizontal="right" vertical="center" wrapText="1"/>
    </xf>
    <xf numFmtId="0" fontId="28" fillId="0" borderId="0" xfId="10" applyFont="1" applyAlignment="1">
      <alignment vertical="center"/>
    </xf>
    <xf numFmtId="0" fontId="26" fillId="0" borderId="0" xfId="10" applyFont="1" applyAlignment="1">
      <alignment horizontal="center" vertical="center" wrapText="1"/>
    </xf>
    <xf numFmtId="0" fontId="10" fillId="0" borderId="19" xfId="10" applyFont="1" applyBorder="1" applyAlignment="1">
      <alignment horizontal="center" vertical="center"/>
    </xf>
    <xf numFmtId="0" fontId="10" fillId="0" borderId="20" xfId="10" applyFont="1" applyBorder="1" applyAlignment="1">
      <alignment vertical="center" wrapText="1"/>
    </xf>
    <xf numFmtId="171" fontId="10" fillId="0" borderId="20" xfId="10" applyNumberFormat="1" applyFont="1" applyBorder="1" applyAlignment="1">
      <alignment horizontal="right" vertical="center"/>
    </xf>
    <xf numFmtId="167" fontId="21" fillId="0" borderId="20" xfId="10" applyNumberFormat="1" applyFont="1" applyBorder="1" applyAlignment="1">
      <alignment vertical="center"/>
    </xf>
    <xf numFmtId="167" fontId="21" fillId="0" borderId="32" xfId="10" applyNumberFormat="1" applyFont="1" applyBorder="1" applyAlignment="1">
      <alignment horizontal="right" vertical="center" wrapText="1"/>
    </xf>
    <xf numFmtId="0" fontId="21" fillId="0" borderId="0" xfId="10" applyFont="1" applyAlignment="1">
      <alignment horizontal="center" vertical="center"/>
    </xf>
    <xf numFmtId="171" fontId="21" fillId="0" borderId="0" xfId="10" applyNumberFormat="1" applyFont="1" applyAlignment="1">
      <alignment horizontal="center" vertical="center"/>
    </xf>
    <xf numFmtId="167" fontId="10" fillId="0" borderId="0" xfId="10" applyNumberFormat="1" applyFont="1" applyAlignment="1">
      <alignment horizontal="center"/>
    </xf>
    <xf numFmtId="0" fontId="28" fillId="0" borderId="23" xfId="10" applyFont="1" applyBorder="1" applyAlignment="1">
      <alignment horizontal="center" vertical="center"/>
    </xf>
    <xf numFmtId="171" fontId="29" fillId="0" borderId="24" xfId="10" applyNumberFormat="1" applyFont="1" applyBorder="1" applyAlignment="1">
      <alignment horizontal="right" vertical="center"/>
    </xf>
    <xf numFmtId="167" fontId="29" fillId="0" borderId="30" xfId="10" applyNumberFormat="1" applyFont="1" applyBorder="1" applyAlignment="1">
      <alignment horizontal="right" vertical="center" wrapText="1"/>
    </xf>
    <xf numFmtId="0" fontId="30" fillId="0" borderId="0" xfId="10" applyFont="1" applyAlignment="1">
      <alignment horizontal="center" vertical="center"/>
    </xf>
    <xf numFmtId="0" fontId="30" fillId="0" borderId="0" xfId="10" applyFont="1" applyAlignment="1">
      <alignment vertical="center"/>
    </xf>
    <xf numFmtId="171" fontId="30" fillId="0" borderId="0" xfId="10" applyNumberFormat="1" applyFont="1" applyAlignment="1">
      <alignment horizontal="center" vertical="center"/>
    </xf>
    <xf numFmtId="167" fontId="30" fillId="0" borderId="0" xfId="10" applyNumberFormat="1" applyFont="1" applyAlignment="1">
      <alignment horizontal="center"/>
    </xf>
    <xf numFmtId="167" fontId="26" fillId="0" borderId="0" xfId="10" applyNumberFormat="1" applyFont="1" applyAlignment="1">
      <alignment horizontal="right" vertical="center"/>
    </xf>
    <xf numFmtId="0" fontId="21" fillId="0" borderId="31" xfId="10" applyFont="1" applyBorder="1" applyAlignment="1">
      <alignment horizontal="right" vertical="center" wrapText="1"/>
    </xf>
    <xf numFmtId="0" fontId="21" fillId="0" borderId="31" xfId="10" applyFont="1" applyBorder="1" applyAlignment="1">
      <alignment horizontal="center" vertical="center" wrapText="1"/>
    </xf>
    <xf numFmtId="171" fontId="21" fillId="0" borderId="31" xfId="10" applyNumberFormat="1" applyFont="1" applyBorder="1" applyAlignment="1">
      <alignment horizontal="right" vertical="center" wrapText="1"/>
    </xf>
    <xf numFmtId="0" fontId="10" fillId="0" borderId="19" xfId="10" applyFont="1" applyBorder="1" applyAlignment="1">
      <alignment horizontal="center" vertical="center" wrapText="1"/>
    </xf>
    <xf numFmtId="0" fontId="28" fillId="0" borderId="24" xfId="10" applyFont="1" applyBorder="1" applyAlignment="1">
      <alignment vertical="center" wrapText="1"/>
    </xf>
    <xf numFmtId="0" fontId="28" fillId="0" borderId="33" xfId="10" applyFont="1" applyBorder="1" applyAlignment="1">
      <alignment horizontal="center" vertical="center" wrapText="1"/>
    </xf>
    <xf numFmtId="4" fontId="28" fillId="0" borderId="33" xfId="10" applyNumberFormat="1" applyFont="1" applyBorder="1" applyAlignment="1">
      <alignment horizontal="center" vertical="center"/>
    </xf>
    <xf numFmtId="171" fontId="28" fillId="0" borderId="24" xfId="10" applyNumberFormat="1" applyFont="1" applyBorder="1" applyAlignment="1">
      <alignment horizontal="right" vertical="center"/>
    </xf>
    <xf numFmtId="167" fontId="28" fillId="0" borderId="24" xfId="10" applyNumberFormat="1" applyFont="1" applyBorder="1" applyAlignment="1">
      <alignment vertical="center"/>
    </xf>
    <xf numFmtId="167" fontId="28" fillId="0" borderId="30" xfId="10" applyNumberFormat="1" applyFont="1" applyBorder="1" applyAlignment="1">
      <alignment horizontal="right" vertical="center" wrapText="1"/>
    </xf>
    <xf numFmtId="0" fontId="21" fillId="0" borderId="27" xfId="10" applyFont="1" applyBorder="1" applyAlignment="1">
      <alignment horizontal="right" vertical="center" wrapText="1"/>
    </xf>
    <xf numFmtId="0" fontId="21" fillId="0" borderId="27" xfId="10" applyFont="1" applyBorder="1" applyAlignment="1">
      <alignment horizontal="center" vertical="center" wrapText="1"/>
    </xf>
    <xf numFmtId="171" fontId="21" fillId="0" borderId="27" xfId="10" applyNumberFormat="1" applyFont="1" applyBorder="1" applyAlignment="1">
      <alignment horizontal="right" vertical="center" wrapText="1"/>
    </xf>
    <xf numFmtId="0" fontId="26" fillId="9" borderId="34" xfId="10" applyFont="1" applyFill="1" applyBorder="1" applyAlignment="1">
      <alignment horizontal="left" vertical="center" wrapText="1"/>
    </xf>
    <xf numFmtId="0" fontId="26" fillId="0" borderId="0" xfId="10" applyFont="1" applyAlignment="1">
      <alignment horizontal="left" vertical="center" wrapText="1"/>
    </xf>
    <xf numFmtId="0" fontId="21" fillId="8" borderId="0" xfId="10" applyFont="1" applyFill="1" applyAlignment="1">
      <alignment horizontal="center" vertical="center" wrapText="1"/>
    </xf>
    <xf numFmtId="0" fontId="21" fillId="8" borderId="0" xfId="10" applyFont="1" applyFill="1" applyAlignment="1">
      <alignment horizontal="left" vertical="center" wrapText="1"/>
    </xf>
    <xf numFmtId="4" fontId="21" fillId="8" borderId="0" xfId="10" applyNumberFormat="1" applyFont="1" applyFill="1" applyAlignment="1">
      <alignment horizontal="center" vertical="center" wrapText="1"/>
    </xf>
    <xf numFmtId="167" fontId="26" fillId="10" borderId="18" xfId="10" applyNumberFormat="1" applyFont="1" applyFill="1" applyBorder="1" applyAlignment="1">
      <alignment horizontal="center" vertical="center"/>
    </xf>
    <xf numFmtId="170" fontId="21" fillId="0" borderId="0" xfId="10" applyNumberFormat="1" applyFont="1" applyAlignment="1">
      <alignment horizontal="right" vertical="center" wrapText="1"/>
    </xf>
    <xf numFmtId="170" fontId="26" fillId="12" borderId="18" xfId="10" applyNumberFormat="1" applyFont="1" applyFill="1" applyBorder="1" applyAlignment="1">
      <alignment horizontal="right" vertical="center"/>
    </xf>
    <xf numFmtId="170" fontId="26" fillId="12" borderId="0" xfId="10" applyNumberFormat="1" applyFont="1" applyFill="1" applyAlignment="1">
      <alignment horizontal="right" vertical="center"/>
    </xf>
    <xf numFmtId="170" fontId="26" fillId="0" borderId="0" xfId="10" applyNumberFormat="1" applyFont="1" applyAlignment="1">
      <alignment horizontal="right" vertical="center"/>
    </xf>
    <xf numFmtId="0" fontId="26" fillId="0" borderId="38" xfId="10" applyFont="1" applyBorder="1" applyAlignment="1">
      <alignment horizontal="left" vertical="center" wrapText="1"/>
    </xf>
    <xf numFmtId="0" fontId="26" fillId="0" borderId="39" xfId="10" applyFont="1" applyBorder="1" applyAlignment="1">
      <alignment horizontal="left" vertical="center" wrapText="1"/>
    </xf>
    <xf numFmtId="0" fontId="26" fillId="0" borderId="39" xfId="10" applyFont="1" applyBorder="1" applyAlignment="1">
      <alignment horizontal="center" vertical="center" wrapText="1"/>
    </xf>
    <xf numFmtId="171" fontId="26" fillId="0" borderId="39" xfId="10" applyNumberFormat="1" applyFont="1" applyBorder="1" applyAlignment="1">
      <alignment horizontal="left" vertical="center" wrapText="1"/>
    </xf>
    <xf numFmtId="0" fontId="26" fillId="0" borderId="40" xfId="10" applyFont="1" applyBorder="1" applyAlignment="1">
      <alignment horizontal="left" vertical="center" wrapText="1"/>
    </xf>
    <xf numFmtId="4" fontId="21" fillId="0" borderId="0" xfId="10" applyNumberFormat="1" applyFont="1" applyAlignment="1">
      <alignment vertical="center"/>
    </xf>
    <xf numFmtId="0" fontId="21" fillId="8" borderId="0" xfId="10" applyFont="1" applyFill="1" applyAlignment="1">
      <alignment vertical="center" wrapText="1"/>
    </xf>
    <xf numFmtId="0" fontId="21" fillId="8" borderId="0" xfId="10" applyFont="1" applyFill="1" applyAlignment="1">
      <alignment horizontal="left" vertical="top" wrapText="1"/>
    </xf>
    <xf numFmtId="0" fontId="21" fillId="0" borderId="0" xfId="10" applyFont="1" applyAlignment="1">
      <alignment horizontal="right" vertical="center" wrapText="1"/>
    </xf>
    <xf numFmtId="0" fontId="21" fillId="8" borderId="0" xfId="10" applyFont="1" applyFill="1" applyAlignment="1">
      <alignment horizontal="right" vertical="center" wrapText="1"/>
    </xf>
    <xf numFmtId="171" fontId="21" fillId="0" borderId="0" xfId="10" applyNumberFormat="1" applyFont="1" applyAlignment="1">
      <alignment vertical="center"/>
    </xf>
    <xf numFmtId="0" fontId="28" fillId="0" borderId="41" xfId="10" applyFont="1" applyBorder="1" applyAlignment="1">
      <alignment horizontal="center" vertical="center"/>
    </xf>
    <xf numFmtId="0" fontId="28" fillId="0" borderId="42" xfId="10" applyFont="1" applyBorder="1" applyAlignment="1">
      <alignment vertical="center" wrapText="1"/>
    </xf>
    <xf numFmtId="0" fontId="28" fillId="0" borderId="27" xfId="10" applyFont="1" applyBorder="1" applyAlignment="1">
      <alignment horizontal="center" vertical="center" wrapText="1"/>
    </xf>
    <xf numFmtId="4" fontId="28" fillId="0" borderId="27" xfId="10" applyNumberFormat="1" applyFont="1" applyBorder="1" applyAlignment="1">
      <alignment horizontal="center" vertical="center"/>
    </xf>
    <xf numFmtId="171" fontId="28" fillId="0" borderId="42" xfId="10" applyNumberFormat="1" applyFont="1" applyBorder="1" applyAlignment="1">
      <alignment horizontal="right" vertical="center"/>
    </xf>
    <xf numFmtId="167" fontId="28" fillId="0" borderId="42" xfId="10" applyNumberFormat="1" applyFont="1" applyBorder="1" applyAlignment="1">
      <alignment vertical="center"/>
    </xf>
    <xf numFmtId="167" fontId="28" fillId="0" borderId="43" xfId="10" applyNumberFormat="1" applyFont="1" applyBorder="1" applyAlignment="1">
      <alignment horizontal="right" vertical="center" wrapText="1"/>
    </xf>
    <xf numFmtId="4" fontId="29" fillId="0" borderId="0" xfId="10" applyNumberFormat="1" applyFont="1" applyAlignment="1">
      <alignment vertical="center"/>
    </xf>
    <xf numFmtId="0" fontId="29" fillId="8" borderId="0" xfId="10" applyFont="1" applyFill="1" applyAlignment="1">
      <alignment horizontal="center" vertical="center" wrapText="1"/>
    </xf>
    <xf numFmtId="0" fontId="29" fillId="8" borderId="0" xfId="10" applyFont="1" applyFill="1" applyAlignment="1">
      <alignment vertical="center" wrapText="1"/>
    </xf>
    <xf numFmtId="0" fontId="29" fillId="8" borderId="0" xfId="10" applyFont="1" applyFill="1" applyAlignment="1">
      <alignment horizontal="left" vertical="top" wrapText="1"/>
    </xf>
    <xf numFmtId="0" fontId="29" fillId="0" borderId="0" xfId="10" applyFont="1" applyAlignment="1">
      <alignment horizontal="right" vertical="center" wrapText="1"/>
    </xf>
    <xf numFmtId="0" fontId="29" fillId="8" borderId="0" xfId="10" applyFont="1" applyFill="1" applyAlignment="1">
      <alignment horizontal="right" vertical="center" wrapText="1"/>
    </xf>
    <xf numFmtId="0" fontId="29" fillId="0" borderId="0" xfId="10" applyFont="1" applyAlignment="1">
      <alignment vertical="center"/>
    </xf>
    <xf numFmtId="0" fontId="11" fillId="10" borderId="18" xfId="10" applyFont="1" applyFill="1" applyBorder="1" applyAlignment="1">
      <alignment horizontal="center" vertical="center" wrapText="1"/>
    </xf>
    <xf numFmtId="0" fontId="10" fillId="0" borderId="0" xfId="10" applyFont="1"/>
    <xf numFmtId="167" fontId="27" fillId="0" borderId="20" xfId="10" applyNumberFormat="1" applyFont="1" applyBorder="1" applyAlignment="1">
      <alignment vertical="center"/>
    </xf>
    <xf numFmtId="0" fontId="10" fillId="0" borderId="21" xfId="10" applyFont="1" applyBorder="1" applyAlignment="1">
      <alignment horizontal="right" vertical="center"/>
    </xf>
    <xf numFmtId="167" fontId="27" fillId="0" borderId="22" xfId="10" applyNumberFormat="1" applyFont="1" applyBorder="1" applyAlignment="1">
      <alignment vertical="center"/>
    </xf>
    <xf numFmtId="0" fontId="28" fillId="0" borderId="22" xfId="10" applyFont="1" applyBorder="1" applyAlignment="1">
      <alignment horizontal="center" vertical="center"/>
    </xf>
    <xf numFmtId="0" fontId="28" fillId="0" borderId="22" xfId="10" applyFont="1" applyBorder="1" applyAlignment="1">
      <alignment horizontal="left" vertical="center" wrapText="1"/>
    </xf>
    <xf numFmtId="4" fontId="28" fillId="0" borderId="22" xfId="10" applyNumberFormat="1" applyFont="1" applyBorder="1" applyAlignment="1">
      <alignment horizontal="center" vertical="center"/>
    </xf>
    <xf numFmtId="0" fontId="28" fillId="0" borderId="42" xfId="10" applyFont="1" applyBorder="1" applyAlignment="1">
      <alignment horizontal="left" vertical="center" wrapText="1"/>
    </xf>
    <xf numFmtId="0" fontId="28" fillId="0" borderId="42" xfId="10" applyFont="1" applyBorder="1" applyAlignment="1">
      <alignment horizontal="center" vertical="center"/>
    </xf>
    <xf numFmtId="4" fontId="28" fillId="0" borderId="42" xfId="10" applyNumberFormat="1" applyFont="1" applyBorder="1" applyAlignment="1">
      <alignment horizontal="center" vertical="center"/>
    </xf>
    <xf numFmtId="167" fontId="26" fillId="12" borderId="44" xfId="10" applyNumberFormat="1" applyFont="1" applyFill="1" applyBorder="1" applyAlignment="1">
      <alignment horizontal="right" vertical="center"/>
    </xf>
    <xf numFmtId="171" fontId="10" fillId="0" borderId="0" xfId="10" applyNumberFormat="1" applyFont="1"/>
    <xf numFmtId="0" fontId="26" fillId="10" borderId="18" xfId="10" applyFont="1" applyFill="1" applyBorder="1" applyAlignment="1">
      <alignment horizontal="center" vertical="center"/>
    </xf>
    <xf numFmtId="0" fontId="10" fillId="0" borderId="19" xfId="10" applyFont="1" applyBorder="1" applyAlignment="1">
      <alignment horizontal="right" vertical="center"/>
    </xf>
    <xf numFmtId="0" fontId="29" fillId="0" borderId="21" xfId="10" applyFont="1" applyBorder="1" applyAlignment="1">
      <alignment horizontal="right" vertical="center"/>
    </xf>
    <xf numFmtId="0" fontId="29" fillId="0" borderId="22" xfId="10" applyFont="1" applyBorder="1" applyAlignment="1">
      <alignment vertical="center" wrapText="1"/>
    </xf>
    <xf numFmtId="0" fontId="29" fillId="0" borderId="22" xfId="10" applyFont="1" applyBorder="1" applyAlignment="1">
      <alignment horizontal="center" vertical="center" wrapText="1"/>
    </xf>
    <xf numFmtId="4" fontId="29" fillId="0" borderId="22" xfId="10" applyNumberFormat="1" applyFont="1" applyBorder="1" applyAlignment="1">
      <alignment horizontal="center" vertical="center" wrapText="1"/>
    </xf>
    <xf numFmtId="171" fontId="29" fillId="0" borderId="22" xfId="10" applyNumberFormat="1" applyFont="1" applyBorder="1" applyAlignment="1">
      <alignment horizontal="right" vertical="center"/>
    </xf>
    <xf numFmtId="167" fontId="31" fillId="0" borderId="22" xfId="10" applyNumberFormat="1" applyFont="1" applyBorder="1" applyAlignment="1">
      <alignment vertical="center"/>
    </xf>
    <xf numFmtId="167" fontId="29" fillId="0" borderId="29" xfId="10" applyNumberFormat="1" applyFont="1" applyBorder="1" applyAlignment="1">
      <alignment horizontal="right" vertical="center" wrapText="1"/>
    </xf>
    <xf numFmtId="0" fontId="29" fillId="0" borderId="23" xfId="10" applyFont="1" applyBorder="1" applyAlignment="1">
      <alignment horizontal="right" vertical="center"/>
    </xf>
    <xf numFmtId="0" fontId="29" fillId="0" borderId="24" xfId="10" applyFont="1" applyBorder="1" applyAlignment="1">
      <alignment vertical="center" wrapText="1"/>
    </xf>
    <xf numFmtId="0" fontId="29" fillId="0" borderId="24" xfId="10" applyFont="1" applyBorder="1" applyAlignment="1">
      <alignment horizontal="center" vertical="center" wrapText="1"/>
    </xf>
    <xf numFmtId="4" fontId="29" fillId="0" borderId="24" xfId="10" applyNumberFormat="1" applyFont="1" applyBorder="1" applyAlignment="1">
      <alignment horizontal="center" vertical="center" wrapText="1"/>
    </xf>
    <xf numFmtId="167" fontId="31" fillId="0" borderId="24" xfId="10" applyNumberFormat="1" applyFont="1" applyBorder="1" applyAlignment="1">
      <alignment vertical="center"/>
    </xf>
    <xf numFmtId="167" fontId="26" fillId="12" borderId="13" xfId="10" applyNumberFormat="1" applyFont="1" applyFill="1" applyBorder="1" applyAlignment="1">
      <alignment horizontal="right" vertical="center"/>
    </xf>
    <xf numFmtId="0" fontId="21" fillId="0" borderId="0" xfId="10" applyFont="1" applyAlignment="1">
      <alignment horizontal="right" vertical="center"/>
    </xf>
    <xf numFmtId="167" fontId="26" fillId="10" borderId="18" xfId="10" applyNumberFormat="1" applyFont="1" applyFill="1" applyBorder="1" applyAlignment="1">
      <alignment horizontal="center" vertical="center" wrapText="1"/>
    </xf>
    <xf numFmtId="0" fontId="21" fillId="0" borderId="31" xfId="10" applyFont="1" applyBorder="1" applyAlignment="1">
      <alignment horizontal="left" vertical="center" wrapText="1"/>
    </xf>
    <xf numFmtId="167" fontId="21" fillId="0" borderId="31" xfId="10" applyNumberFormat="1" applyFont="1" applyBorder="1" applyAlignment="1">
      <alignment horizontal="right" vertical="center" wrapText="1"/>
    </xf>
    <xf numFmtId="0" fontId="29" fillId="0" borderId="22" xfId="10" applyFont="1" applyBorder="1" applyAlignment="1">
      <alignment horizontal="center" vertical="center"/>
    </xf>
    <xf numFmtId="0" fontId="29" fillId="0" borderId="22" xfId="10" applyFont="1" applyBorder="1" applyAlignment="1">
      <alignment horizontal="left" vertical="center" wrapText="1"/>
    </xf>
    <xf numFmtId="4" fontId="29" fillId="0" borderId="22" xfId="10" applyNumberFormat="1" applyFont="1" applyBorder="1" applyAlignment="1">
      <alignment horizontal="center" vertical="center"/>
    </xf>
    <xf numFmtId="167" fontId="29" fillId="0" borderId="22" xfId="10" applyNumberFormat="1" applyFont="1" applyBorder="1" applyAlignment="1">
      <alignment horizontal="right" vertical="center" wrapText="1"/>
    </xf>
    <xf numFmtId="167" fontId="26" fillId="12" borderId="22" xfId="10" applyNumberFormat="1" applyFont="1" applyFill="1" applyBorder="1" applyAlignment="1">
      <alignment horizontal="right" vertical="center"/>
    </xf>
    <xf numFmtId="167" fontId="21" fillId="0" borderId="0" xfId="10" applyNumberFormat="1" applyFont="1" applyAlignment="1">
      <alignment vertical="center"/>
    </xf>
    <xf numFmtId="0" fontId="21" fillId="0" borderId="0" xfId="10" applyFont="1" applyAlignment="1">
      <alignment horizontal="center" vertical="center" wrapText="1"/>
    </xf>
    <xf numFmtId="0" fontId="26" fillId="0" borderId="10" xfId="10" applyFont="1" applyBorder="1" applyAlignment="1">
      <alignment horizontal="center" vertical="center" wrapText="1"/>
    </xf>
    <xf numFmtId="0" fontId="26" fillId="0" borderId="10" xfId="10" applyFont="1" applyBorder="1" applyAlignment="1">
      <alignment horizontal="left" vertical="center" wrapText="1"/>
    </xf>
    <xf numFmtId="172" fontId="26" fillId="8" borderId="10" xfId="10" applyNumberFormat="1" applyFont="1" applyFill="1" applyBorder="1" applyAlignment="1">
      <alignment horizontal="center" vertical="center" wrapText="1"/>
    </xf>
    <xf numFmtId="167" fontId="26" fillId="8" borderId="10" xfId="10" applyNumberFormat="1" applyFont="1" applyFill="1" applyBorder="1" applyAlignment="1">
      <alignment horizontal="center" vertical="center" wrapText="1"/>
    </xf>
    <xf numFmtId="167" fontId="26" fillId="8" borderId="10" xfId="10" applyNumberFormat="1" applyFont="1" applyFill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0" fillId="0" borderId="10" xfId="10" applyFont="1" applyBorder="1" applyAlignment="1">
      <alignment vertical="center" wrapText="1"/>
    </xf>
    <xf numFmtId="0" fontId="21" fillId="0" borderId="10" xfId="10" applyFont="1" applyBorder="1" applyAlignment="1">
      <alignment horizontal="center" vertical="center" wrapText="1"/>
    </xf>
    <xf numFmtId="4" fontId="10" fillId="0" borderId="10" xfId="10" applyNumberFormat="1" applyFont="1" applyBorder="1" applyAlignment="1">
      <alignment horizontal="center" vertical="center"/>
    </xf>
    <xf numFmtId="172" fontId="10" fillId="0" borderId="10" xfId="10" applyNumberFormat="1" applyFont="1" applyBorder="1" applyAlignment="1">
      <alignment horizontal="right" vertical="center"/>
    </xf>
    <xf numFmtId="167" fontId="10" fillId="0" borderId="10" xfId="10" applyNumberFormat="1" applyFont="1" applyBorder="1" applyAlignment="1">
      <alignment vertical="center"/>
    </xf>
    <xf numFmtId="170" fontId="21" fillId="0" borderId="10" xfId="10" applyNumberFormat="1" applyFont="1" applyBorder="1" applyAlignment="1">
      <alignment horizontal="right" vertical="center" wrapText="1"/>
    </xf>
    <xf numFmtId="170" fontId="26" fillId="12" borderId="10" xfId="10" applyNumberFormat="1" applyFont="1" applyFill="1" applyBorder="1" applyAlignment="1">
      <alignment horizontal="right" vertical="center"/>
    </xf>
    <xf numFmtId="166" fontId="21" fillId="0" borderId="0" xfId="10" applyNumberFormat="1" applyFont="1" applyAlignment="1">
      <alignment vertical="center"/>
    </xf>
    <xf numFmtId="0" fontId="10" fillId="0" borderId="0" xfId="10" applyFont="1" applyAlignment="1">
      <alignment vertical="center"/>
    </xf>
    <xf numFmtId="0" fontId="10" fillId="0" borderId="0" xfId="10" applyFont="1" applyAlignment="1">
      <alignment horizontal="center" vertical="center"/>
    </xf>
    <xf numFmtId="0" fontId="26" fillId="0" borderId="10" xfId="10" applyFont="1" applyBorder="1" applyAlignment="1">
      <alignment vertical="center" wrapText="1"/>
    </xf>
    <xf numFmtId="0" fontId="21" fillId="0" borderId="10" xfId="10" applyFont="1" applyBorder="1" applyAlignment="1">
      <alignment horizontal="center" vertical="center"/>
    </xf>
    <xf numFmtId="0" fontId="21" fillId="0" borderId="10" xfId="10" applyFont="1" applyBorder="1" applyAlignment="1">
      <alignment vertical="center"/>
    </xf>
    <xf numFmtId="168" fontId="21" fillId="0" borderId="10" xfId="10" applyNumberFormat="1" applyFont="1" applyBorder="1" applyAlignment="1">
      <alignment vertical="center"/>
    </xf>
    <xf numFmtId="168" fontId="21" fillId="0" borderId="10" xfId="10" applyNumberFormat="1" applyFont="1" applyBorder="1" applyAlignment="1">
      <alignment horizontal="left" vertical="center"/>
    </xf>
    <xf numFmtId="173" fontId="21" fillId="0" borderId="0" xfId="10" applyNumberFormat="1" applyFont="1" applyAlignment="1">
      <alignment vertical="center"/>
    </xf>
    <xf numFmtId="168" fontId="26" fillId="0" borderId="10" xfId="10" applyNumberFormat="1" applyFont="1" applyBorder="1" applyAlignment="1">
      <alignment vertical="center"/>
    </xf>
    <xf numFmtId="168" fontId="26" fillId="0" borderId="10" xfId="10" applyNumberFormat="1" applyFont="1" applyBorder="1" applyAlignment="1">
      <alignment horizontal="left" vertical="center"/>
    </xf>
    <xf numFmtId="0" fontId="21" fillId="0" borderId="10" xfId="10" applyFont="1" applyBorder="1" applyAlignment="1">
      <alignment horizontal="left" vertical="center"/>
    </xf>
    <xf numFmtId="0" fontId="26" fillId="0" borderId="10" xfId="10" applyFont="1" applyBorder="1" applyAlignment="1">
      <alignment vertical="center"/>
    </xf>
    <xf numFmtId="0" fontId="26" fillId="0" borderId="10" xfId="10" applyFont="1" applyBorder="1" applyAlignment="1">
      <alignment horizontal="right" vertical="center"/>
    </xf>
    <xf numFmtId="0" fontId="26" fillId="0" borderId="0" xfId="10" applyFont="1" applyAlignment="1">
      <alignment vertical="center"/>
    </xf>
    <xf numFmtId="173" fontId="26" fillId="0" borderId="0" xfId="10" applyNumberFormat="1" applyFont="1" applyAlignment="1">
      <alignment vertical="center"/>
    </xf>
    <xf numFmtId="0" fontId="26" fillId="0" borderId="0" xfId="10" applyFont="1" applyAlignment="1">
      <alignment horizontal="center" vertical="center"/>
    </xf>
    <xf numFmtId="0" fontId="26" fillId="0" borderId="0" xfId="10" applyFont="1" applyAlignment="1">
      <alignment horizontal="left" vertical="center"/>
    </xf>
    <xf numFmtId="0" fontId="10" fillId="0" borderId="0" xfId="10" applyFont="1" applyAlignment="1">
      <alignment horizontal="center" vertical="center" wrapText="1"/>
    </xf>
    <xf numFmtId="168" fontId="26" fillId="0" borderId="0" xfId="10" applyNumberFormat="1" applyFont="1" applyAlignment="1">
      <alignment horizontal="left" vertical="center"/>
    </xf>
    <xf numFmtId="168" fontId="21" fillId="0" borderId="0" xfId="10" applyNumberFormat="1" applyFont="1" applyAlignment="1">
      <alignment horizontal="left" vertical="center"/>
    </xf>
    <xf numFmtId="168" fontId="21" fillId="0" borderId="0" xfId="10" applyNumberFormat="1" applyFont="1" applyAlignment="1">
      <alignment vertical="center"/>
    </xf>
    <xf numFmtId="168" fontId="11" fillId="0" borderId="0" xfId="10" applyNumberFormat="1" applyFont="1" applyAlignment="1">
      <alignment horizontal="center" vertical="center"/>
    </xf>
    <xf numFmtId="10" fontId="18" fillId="0" borderId="6" xfId="11" applyNumberFormat="1" applyFont="1" applyBorder="1" applyAlignment="1">
      <alignment horizontal="left" vertical="center" wrapText="1"/>
    </xf>
    <xf numFmtId="2" fontId="7" fillId="7" borderId="6" xfId="10" applyNumberFormat="1" applyFont="1" applyFill="1" applyBorder="1" applyAlignment="1">
      <alignment vertical="center"/>
    </xf>
    <xf numFmtId="2" fontId="7" fillId="7" borderId="6" xfId="10" applyNumberFormat="1" applyFont="1" applyFill="1" applyBorder="1" applyAlignment="1">
      <alignment horizontal="right" vertical="center"/>
    </xf>
    <xf numFmtId="2" fontId="33" fillId="7" borderId="6" xfId="10" applyNumberFormat="1" applyFont="1" applyFill="1" applyBorder="1"/>
    <xf numFmtId="2" fontId="33" fillId="7" borderId="6" xfId="10" applyNumberFormat="1" applyFont="1" applyFill="1" applyBorder="1" applyAlignment="1">
      <alignment vertical="center"/>
    </xf>
    <xf numFmtId="49" fontId="24" fillId="7" borderId="6" xfId="10" applyNumberFormat="1" applyFont="1" applyFill="1" applyBorder="1" applyAlignment="1">
      <alignment horizontal="left" vertical="center"/>
    </xf>
    <xf numFmtId="0" fontId="22" fillId="0" borderId="6" xfId="10" applyBorder="1"/>
    <xf numFmtId="2" fontId="7" fillId="0" borderId="6" xfId="10" applyNumberFormat="1" applyFont="1" applyBorder="1"/>
    <xf numFmtId="0" fontId="7" fillId="0" borderId="6" xfId="10" applyFont="1" applyBorder="1"/>
    <xf numFmtId="0" fontId="4" fillId="0" borderId="6" xfId="0" applyFont="1" applyBorder="1" applyAlignment="1">
      <alignment wrapText="1"/>
    </xf>
    <xf numFmtId="0" fontId="7" fillId="0" borderId="6" xfId="10" applyFont="1" applyBorder="1" applyAlignment="1">
      <alignment wrapText="1"/>
    </xf>
    <xf numFmtId="10" fontId="21" fillId="0" borderId="57" xfId="10" applyNumberFormat="1" applyFont="1" applyBorder="1" applyAlignment="1">
      <alignment horizontal="center" vertical="center"/>
    </xf>
    <xf numFmtId="10" fontId="21" fillId="0" borderId="58" xfId="10" applyNumberFormat="1" applyFont="1" applyBorder="1" applyAlignment="1">
      <alignment horizontal="center" vertical="center"/>
    </xf>
    <xf numFmtId="10" fontId="35" fillId="0" borderId="0" xfId="10" applyNumberFormat="1" applyFont="1" applyAlignment="1">
      <alignment vertical="center"/>
    </xf>
    <xf numFmtId="10" fontId="37" fillId="0" borderId="0" xfId="10" applyNumberFormat="1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23" fillId="13" borderId="6" xfId="10" applyFont="1" applyFill="1" applyBorder="1"/>
    <xf numFmtId="167" fontId="19" fillId="14" borderId="10" xfId="0" applyNumberFormat="1" applyFont="1" applyFill="1" applyBorder="1" applyAlignment="1">
      <alignment horizontal="center" vertical="center" wrapText="1"/>
    </xf>
    <xf numFmtId="2" fontId="23" fillId="13" borderId="6" xfId="10" applyNumberFormat="1" applyFont="1" applyFill="1" applyBorder="1"/>
    <xf numFmtId="0" fontId="22" fillId="0" borderId="6" xfId="10" applyBorder="1" applyAlignment="1">
      <alignment vertical="center" wrapText="1"/>
    </xf>
    <xf numFmtId="0" fontId="40" fillId="0" borderId="23" xfId="10" applyFont="1" applyBorder="1" applyAlignment="1">
      <alignment horizontal="center" vertical="center"/>
    </xf>
    <xf numFmtId="0" fontId="40" fillId="0" borderId="24" xfId="10" applyFont="1" applyBorder="1" applyAlignment="1">
      <alignment horizontal="left" vertical="top" wrapText="1"/>
    </xf>
    <xf numFmtId="0" fontId="40" fillId="0" borderId="24" xfId="10" applyFont="1" applyBorder="1" applyAlignment="1">
      <alignment horizontal="center" vertical="center"/>
    </xf>
    <xf numFmtId="4" fontId="40" fillId="0" borderId="24" xfId="10" applyNumberFormat="1" applyFont="1" applyBorder="1" applyAlignment="1">
      <alignment horizontal="center" vertical="center"/>
    </xf>
    <xf numFmtId="171" fontId="40" fillId="0" borderId="24" xfId="10" applyNumberFormat="1" applyFont="1" applyBorder="1" applyAlignment="1">
      <alignment horizontal="right" vertical="center"/>
    </xf>
    <xf numFmtId="167" fontId="40" fillId="0" borderId="24" xfId="10" applyNumberFormat="1" applyFont="1" applyBorder="1" applyAlignment="1">
      <alignment vertical="center"/>
    </xf>
    <xf numFmtId="167" fontId="40" fillId="0" borderId="30" xfId="10" applyNumberFormat="1" applyFont="1" applyBorder="1" applyAlignment="1">
      <alignment horizontal="right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21" fillId="0" borderId="10" xfId="10" applyFont="1" applyBorder="1" applyAlignment="1">
      <alignment horizontal="left" vertical="center" wrapText="1"/>
    </xf>
    <xf numFmtId="168" fontId="26" fillId="0" borderId="0" xfId="10" applyNumberFormat="1" applyFont="1" applyAlignment="1">
      <alignment vertical="center"/>
    </xf>
    <xf numFmtId="43" fontId="41" fillId="0" borderId="0" xfId="9" applyNumberFormat="1" applyFont="1" applyAlignment="1">
      <alignment vertical="center"/>
    </xf>
    <xf numFmtId="43" fontId="21" fillId="0" borderId="0" xfId="10" applyNumberFormat="1" applyFont="1" applyAlignment="1">
      <alignment vertical="center"/>
    </xf>
    <xf numFmtId="2" fontId="22" fillId="0" borderId="0" xfId="10" applyNumberFormat="1"/>
    <xf numFmtId="167" fontId="19" fillId="14" borderId="13" xfId="0" applyNumberFormat="1" applyFont="1" applyFill="1" applyBorder="1" applyAlignment="1">
      <alignment horizontal="center" vertical="center" wrapText="1"/>
    </xf>
    <xf numFmtId="2" fontId="23" fillId="13" borderId="1" xfId="10" applyNumberFormat="1" applyFont="1" applyFill="1" applyBorder="1"/>
    <xf numFmtId="0" fontId="42" fillId="6" borderId="10" xfId="0" applyFont="1" applyFill="1" applyBorder="1" applyAlignment="1">
      <alignment horizontal="center" vertical="center" wrapText="1"/>
    </xf>
    <xf numFmtId="167" fontId="42" fillId="6" borderId="12" xfId="0" applyNumberFormat="1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vertical="center" wrapText="1"/>
    </xf>
    <xf numFmtId="167" fontId="42" fillId="6" borderId="10" xfId="0" applyNumberFormat="1" applyFont="1" applyFill="1" applyBorder="1" applyAlignment="1">
      <alignment horizontal="center" vertical="center" wrapText="1"/>
    </xf>
    <xf numFmtId="49" fontId="40" fillId="0" borderId="7" xfId="0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wrapText="1"/>
    </xf>
    <xf numFmtId="0" fontId="40" fillId="0" borderId="8" xfId="0" applyFont="1" applyBorder="1" applyAlignment="1">
      <alignment horizontal="center" vertical="center"/>
    </xf>
    <xf numFmtId="169" fontId="40" fillId="0" borderId="10" xfId="0" applyNumberFormat="1" applyFont="1" applyBorder="1" applyAlignment="1">
      <alignment horizontal="center" vertical="center" wrapText="1"/>
    </xf>
    <xf numFmtId="167" fontId="40" fillId="0" borderId="10" xfId="0" applyNumberFormat="1" applyFont="1" applyBorder="1" applyAlignment="1">
      <alignment horizontal="center" vertical="center" wrapText="1"/>
    </xf>
    <xf numFmtId="0" fontId="40" fillId="0" borderId="6" xfId="0" applyFont="1" applyBorder="1"/>
    <xf numFmtId="167" fontId="42" fillId="6" borderId="13" xfId="0" applyNumberFormat="1" applyFont="1" applyFill="1" applyBorder="1" applyAlignment="1">
      <alignment horizontal="center" vertical="center" wrapText="1"/>
    </xf>
    <xf numFmtId="0" fontId="42" fillId="6" borderId="13" xfId="0" applyFont="1" applyFill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9" fontId="40" fillId="0" borderId="10" xfId="11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49" fontId="40" fillId="6" borderId="10" xfId="0" applyNumberFormat="1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6" borderId="63" xfId="0" applyFont="1" applyFill="1" applyBorder="1" applyAlignment="1">
      <alignment vertical="center" wrapText="1"/>
    </xf>
    <xf numFmtId="0" fontId="40" fillId="6" borderId="10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49" fontId="40" fillId="0" borderId="6" xfId="0" applyNumberFormat="1" applyFont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70" fontId="42" fillId="6" borderId="10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164" fontId="42" fillId="6" borderId="14" xfId="1" applyFont="1" applyFill="1" applyBorder="1" applyAlignment="1">
      <alignment vertical="center" wrapText="1"/>
    </xf>
    <xf numFmtId="167" fontId="17" fillId="0" borderId="0" xfId="0" applyNumberFormat="1" applyFont="1" applyAlignment="1">
      <alignment vertical="center" wrapText="1"/>
    </xf>
    <xf numFmtId="0" fontId="17" fillId="0" borderId="0" xfId="10" applyFont="1" applyAlignment="1">
      <alignment horizontal="center" vertical="center"/>
    </xf>
    <xf numFmtId="0" fontId="42" fillId="6" borderId="13" xfId="0" applyFont="1" applyFill="1" applyBorder="1" applyAlignment="1">
      <alignment horizontal="center" vertical="center" wrapText="1"/>
    </xf>
    <xf numFmtId="167" fontId="40" fillId="0" borderId="8" xfId="0" applyNumberFormat="1" applyFont="1" applyBorder="1" applyAlignment="1">
      <alignment horizontal="center" vertical="center" wrapText="1"/>
    </xf>
    <xf numFmtId="0" fontId="10" fillId="0" borderId="14" xfId="10" applyFont="1" applyBorder="1" applyAlignment="1">
      <alignment horizontal="left" vertical="center"/>
    </xf>
    <xf numFmtId="0" fontId="40" fillId="0" borderId="6" xfId="0" applyFont="1" applyBorder="1" applyAlignment="1">
      <alignment horizontal="center" vertical="center"/>
    </xf>
    <xf numFmtId="2" fontId="0" fillId="0" borderId="0" xfId="0" applyNumberFormat="1"/>
    <xf numFmtId="49" fontId="24" fillId="7" borderId="6" xfId="10" applyNumberFormat="1" applyFont="1" applyFill="1" applyBorder="1"/>
    <xf numFmtId="0" fontId="40" fillId="0" borderId="1" xfId="0" applyFont="1" applyBorder="1" applyAlignment="1">
      <alignment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vertical="center" wrapText="1"/>
    </xf>
    <xf numFmtId="2" fontId="7" fillId="7" borderId="1" xfId="10" applyNumberFormat="1" applyFont="1" applyFill="1" applyBorder="1"/>
    <xf numFmtId="0" fontId="0" fillId="0" borderId="0" xfId="0" applyAlignment="1">
      <alignment horizontal="center" vertical="center"/>
    </xf>
    <xf numFmtId="167" fontId="40" fillId="0" borderId="12" xfId="0" applyNumberFormat="1" applyFont="1" applyBorder="1" applyAlignment="1">
      <alignment horizontal="center" vertical="center" wrapText="1"/>
    </xf>
    <xf numFmtId="167" fontId="40" fillId="0" borderId="6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6" xfId="0" applyBorder="1"/>
    <xf numFmtId="0" fontId="42" fillId="6" borderId="63" xfId="0" applyFont="1" applyFill="1" applyBorder="1" applyAlignment="1">
      <alignment horizontal="left" vertical="center" wrapText="1"/>
    </xf>
    <xf numFmtId="0" fontId="40" fillId="0" borderId="66" xfId="0" applyFont="1" applyBorder="1" applyAlignment="1">
      <alignment wrapText="1"/>
    </xf>
    <xf numFmtId="0" fontId="7" fillId="0" borderId="8" xfId="10" applyFont="1" applyBorder="1"/>
    <xf numFmtId="0" fontId="7" fillId="0" borderId="26" xfId="10" applyFont="1" applyBorder="1"/>
    <xf numFmtId="0" fontId="7" fillId="0" borderId="44" xfId="10" applyFont="1" applyBorder="1"/>
    <xf numFmtId="0" fontId="7" fillId="0" borderId="28" xfId="10" applyFont="1" applyBorder="1"/>
    <xf numFmtId="0" fontId="7" fillId="0" borderId="47" xfId="10" applyFont="1" applyBorder="1"/>
    <xf numFmtId="0" fontId="44" fillId="2" borderId="0" xfId="0" applyFont="1" applyFill="1" applyAlignment="1">
      <alignment horizontal="center" vertical="center" wrapText="1"/>
    </xf>
    <xf numFmtId="2" fontId="7" fillId="14" borderId="10" xfId="10" applyNumberFormat="1" applyFont="1" applyFill="1" applyBorder="1" applyAlignment="1">
      <alignment horizontal="right" vertical="center"/>
    </xf>
    <xf numFmtId="0" fontId="19" fillId="14" borderId="10" xfId="0" applyFont="1" applyFill="1" applyBorder="1" applyAlignment="1">
      <alignment horizontal="center" vertical="center" wrapText="1"/>
    </xf>
    <xf numFmtId="167" fontId="42" fillId="5" borderId="13" xfId="0" applyNumberFormat="1" applyFont="1" applyFill="1" applyBorder="1" applyAlignment="1">
      <alignment horizontal="center" vertical="center" wrapText="1"/>
    </xf>
    <xf numFmtId="167" fontId="40" fillId="0" borderId="7" xfId="0" applyNumberFormat="1" applyFont="1" applyBorder="1" applyAlignment="1">
      <alignment horizontal="center" vertical="center" wrapText="1"/>
    </xf>
    <xf numFmtId="167" fontId="42" fillId="6" borderId="7" xfId="0" applyNumberFormat="1" applyFont="1" applyFill="1" applyBorder="1" applyAlignment="1">
      <alignment horizontal="center" vertical="center" wrapText="1"/>
    </xf>
    <xf numFmtId="167" fontId="40" fillId="0" borderId="7" xfId="0" applyNumberFormat="1" applyFont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 wrapText="1"/>
    </xf>
    <xf numFmtId="167" fontId="40" fillId="0" borderId="2" xfId="0" applyNumberFormat="1" applyFont="1" applyBorder="1" applyAlignment="1">
      <alignment horizontal="center" vertical="center" wrapText="1"/>
    </xf>
    <xf numFmtId="167" fontId="42" fillId="6" borderId="7" xfId="0" applyNumberFormat="1" applyFont="1" applyFill="1" applyBorder="1" applyAlignment="1">
      <alignment horizontal="center" vertical="center"/>
    </xf>
    <xf numFmtId="167" fontId="40" fillId="0" borderId="67" xfId="0" applyNumberFormat="1" applyFont="1" applyBorder="1" applyAlignment="1">
      <alignment horizontal="center" vertical="center" wrapText="1"/>
    </xf>
    <xf numFmtId="167" fontId="21" fillId="0" borderId="46" xfId="10" applyNumberFormat="1" applyFont="1" applyBorder="1" applyAlignment="1">
      <alignment vertical="center"/>
    </xf>
    <xf numFmtId="167" fontId="28" fillId="0" borderId="46" xfId="10" applyNumberFormat="1" applyFont="1" applyBorder="1" applyAlignment="1">
      <alignment vertical="center"/>
    </xf>
    <xf numFmtId="167" fontId="21" fillId="0" borderId="69" xfId="10" applyNumberFormat="1" applyFont="1" applyBorder="1" applyAlignment="1">
      <alignment vertical="center"/>
    </xf>
    <xf numFmtId="167" fontId="40" fillId="0" borderId="70" xfId="10" applyNumberFormat="1" applyFont="1" applyBorder="1" applyAlignment="1">
      <alignment vertical="center"/>
    </xf>
    <xf numFmtId="167" fontId="28" fillId="0" borderId="70" xfId="10" applyNumberFormat="1" applyFont="1" applyBorder="1" applyAlignment="1">
      <alignment vertical="center"/>
    </xf>
    <xf numFmtId="167" fontId="28" fillId="0" borderId="39" xfId="10" applyNumberFormat="1" applyFont="1" applyBorder="1" applyAlignment="1">
      <alignment vertical="center"/>
    </xf>
    <xf numFmtId="167" fontId="27" fillId="0" borderId="69" xfId="10" applyNumberFormat="1" applyFont="1" applyBorder="1" applyAlignment="1">
      <alignment vertical="center"/>
    </xf>
    <xf numFmtId="167" fontId="27" fillId="0" borderId="46" xfId="10" applyNumberFormat="1" applyFont="1" applyBorder="1" applyAlignment="1">
      <alignment vertical="center"/>
    </xf>
    <xf numFmtId="167" fontId="31" fillId="0" borderId="46" xfId="10" applyNumberFormat="1" applyFont="1" applyBorder="1" applyAlignment="1">
      <alignment vertical="center"/>
    </xf>
    <xf numFmtId="167" fontId="31" fillId="0" borderId="70" xfId="10" applyNumberFormat="1" applyFont="1" applyBorder="1" applyAlignment="1">
      <alignment vertical="center"/>
    </xf>
    <xf numFmtId="167" fontId="27" fillId="0" borderId="31" xfId="10" applyNumberFormat="1" applyFont="1" applyBorder="1" applyAlignment="1">
      <alignment vertical="center"/>
    </xf>
    <xf numFmtId="167" fontId="31" fillId="0" borderId="42" xfId="10" applyNumberFormat="1" applyFont="1" applyBorder="1" applyAlignment="1">
      <alignment vertical="center"/>
    </xf>
    <xf numFmtId="0" fontId="26" fillId="9" borderId="6" xfId="10" applyFont="1" applyFill="1" applyBorder="1" applyAlignment="1">
      <alignment horizontal="center" vertical="center" wrapText="1"/>
    </xf>
    <xf numFmtId="0" fontId="26" fillId="10" borderId="6" xfId="10" applyFont="1" applyFill="1" applyBorder="1" applyAlignment="1">
      <alignment horizontal="center" vertical="center" wrapText="1"/>
    </xf>
    <xf numFmtId="0" fontId="26" fillId="10" borderId="6" xfId="10" applyFont="1" applyFill="1" applyBorder="1" applyAlignment="1">
      <alignment horizontal="left" vertical="center" wrapText="1"/>
    </xf>
    <xf numFmtId="0" fontId="25" fillId="8" borderId="6" xfId="10" applyFont="1" applyFill="1" applyBorder="1" applyAlignment="1">
      <alignment horizontal="center" vertical="center" wrapText="1"/>
    </xf>
    <xf numFmtId="0" fontId="21" fillId="0" borderId="6" xfId="10" applyFont="1" applyBorder="1" applyAlignment="1">
      <alignment horizontal="center" vertical="center" wrapText="1"/>
    </xf>
    <xf numFmtId="0" fontId="21" fillId="0" borderId="6" xfId="10" applyFont="1" applyBorder="1" applyAlignment="1">
      <alignment horizontal="left" vertical="center" wrapText="1"/>
    </xf>
    <xf numFmtId="171" fontId="21" fillId="0" borderId="6" xfId="10" applyNumberFormat="1" applyFont="1" applyBorder="1" applyAlignment="1">
      <alignment horizontal="right" vertical="center" wrapText="1"/>
    </xf>
    <xf numFmtId="167" fontId="21" fillId="0" borderId="6" xfId="10" applyNumberFormat="1" applyFont="1" applyBorder="1" applyAlignment="1">
      <alignment vertical="center"/>
    </xf>
    <xf numFmtId="167" fontId="21" fillId="0" borderId="6" xfId="10" applyNumberFormat="1" applyFont="1" applyBorder="1" applyAlignment="1">
      <alignment horizontal="right" vertical="center" wrapText="1"/>
    </xf>
    <xf numFmtId="171" fontId="27" fillId="0" borderId="6" xfId="10" applyNumberFormat="1" applyFont="1" applyBorder="1" applyAlignment="1">
      <alignment horizontal="right" vertical="center" wrapText="1"/>
    </xf>
    <xf numFmtId="0" fontId="10" fillId="0" borderId="6" xfId="10" applyFont="1" applyBorder="1" applyAlignment="1">
      <alignment horizontal="center" vertical="center"/>
    </xf>
    <xf numFmtId="4" fontId="10" fillId="0" borderId="6" xfId="10" applyNumberFormat="1" applyFont="1" applyBorder="1" applyAlignment="1">
      <alignment horizontal="center" vertical="center"/>
    </xf>
    <xf numFmtId="171" fontId="10" fillId="0" borderId="6" xfId="10" applyNumberFormat="1" applyFont="1" applyBorder="1" applyAlignment="1">
      <alignment horizontal="right" vertical="center"/>
    </xf>
    <xf numFmtId="0" fontId="10" fillId="0" borderId="6" xfId="10" applyFont="1" applyBorder="1" applyAlignment="1">
      <alignment horizontal="left" vertical="center" wrapText="1"/>
    </xf>
    <xf numFmtId="0" fontId="10" fillId="0" borderId="6" xfId="10" applyFont="1" applyBorder="1" applyAlignment="1">
      <alignment vertical="center" wrapText="1"/>
    </xf>
    <xf numFmtId="171" fontId="10" fillId="0" borderId="6" xfId="10" applyNumberFormat="1" applyFont="1" applyBorder="1" applyAlignment="1">
      <alignment vertical="center"/>
    </xf>
    <xf numFmtId="167" fontId="26" fillId="12" borderId="6" xfId="10" applyNumberFormat="1" applyFont="1" applyFill="1" applyBorder="1" applyAlignment="1">
      <alignment horizontal="right" vertical="center"/>
    </xf>
    <xf numFmtId="0" fontId="26" fillId="10" borderId="6" xfId="10" applyFont="1" applyFill="1" applyBorder="1" applyAlignment="1">
      <alignment horizontal="right" vertical="center"/>
    </xf>
    <xf numFmtId="171" fontId="21" fillId="10" borderId="6" xfId="10" applyNumberFormat="1" applyFont="1" applyFill="1" applyBorder="1" applyAlignment="1">
      <alignment horizontal="right" vertical="center" wrapText="1"/>
    </xf>
    <xf numFmtId="167" fontId="21" fillId="10" borderId="6" xfId="10" applyNumberFormat="1" applyFont="1" applyFill="1" applyBorder="1" applyAlignment="1">
      <alignment horizontal="right" vertical="center" wrapText="1"/>
    </xf>
    <xf numFmtId="167" fontId="27" fillId="0" borderId="6" xfId="10" applyNumberFormat="1" applyFont="1" applyBorder="1" applyAlignment="1">
      <alignment horizontal="right" vertical="center" wrapText="1"/>
    </xf>
    <xf numFmtId="167" fontId="25" fillId="12" borderId="6" xfId="10" applyNumberFormat="1" applyFont="1" applyFill="1" applyBorder="1" applyAlignment="1">
      <alignment horizontal="right" vertical="center"/>
    </xf>
    <xf numFmtId="0" fontId="25" fillId="8" borderId="6" xfId="10" applyFont="1" applyFill="1" applyBorder="1" applyAlignment="1">
      <alignment horizontal="left" vertical="center" wrapText="1"/>
    </xf>
    <xf numFmtId="0" fontId="26" fillId="8" borderId="6" xfId="10" applyFont="1" applyFill="1" applyBorder="1" applyAlignment="1">
      <alignment horizontal="left" vertical="center" wrapText="1"/>
    </xf>
    <xf numFmtId="0" fontId="26" fillId="8" borderId="6" xfId="10" applyFont="1" applyFill="1" applyBorder="1" applyAlignment="1">
      <alignment horizontal="center" vertical="center" wrapText="1"/>
    </xf>
    <xf numFmtId="167" fontId="42" fillId="6" borderId="14" xfId="0" applyNumberFormat="1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169" fontId="40" fillId="0" borderId="12" xfId="0" applyNumberFormat="1" applyFont="1" applyBorder="1" applyAlignment="1">
      <alignment horizontal="center" vertical="center" wrapText="1"/>
    </xf>
    <xf numFmtId="167" fontId="42" fillId="5" borderId="6" xfId="0" applyNumberFormat="1" applyFont="1" applyFill="1" applyBorder="1" applyAlignment="1">
      <alignment horizontal="center" vertical="center" wrapText="1"/>
    </xf>
    <xf numFmtId="167" fontId="42" fillId="6" borderId="14" xfId="0" applyNumberFormat="1" applyFont="1" applyFill="1" applyBorder="1" applyAlignment="1">
      <alignment horizontal="center" vertical="center"/>
    </xf>
    <xf numFmtId="0" fontId="17" fillId="0" borderId="6" xfId="10" applyFont="1" applyBorder="1" applyAlignment="1">
      <alignment horizontal="left" vertical="center" wrapText="1"/>
    </xf>
    <xf numFmtId="0" fontId="17" fillId="0" borderId="6" xfId="10" applyFont="1" applyBorder="1" applyAlignment="1">
      <alignment horizontal="center" vertical="center" wrapText="1"/>
    </xf>
    <xf numFmtId="0" fontId="0" fillId="16" borderId="6" xfId="0" applyFill="1" applyBorder="1"/>
    <xf numFmtId="0" fontId="0" fillId="15" borderId="6" xfId="0" applyFill="1" applyBorder="1"/>
    <xf numFmtId="0" fontId="0" fillId="17" borderId="6" xfId="0" applyFill="1" applyBorder="1"/>
    <xf numFmtId="0" fontId="0" fillId="18" borderId="6" xfId="0" applyFill="1" applyBorder="1"/>
    <xf numFmtId="0" fontId="9" fillId="0" borderId="0" xfId="0" applyFont="1"/>
    <xf numFmtId="167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7" fillId="0" borderId="0" xfId="0" applyNumberFormat="1" applyFont="1" applyAlignment="1">
      <alignment horizontal="left" vertical="center" wrapText="1"/>
    </xf>
    <xf numFmtId="10" fontId="18" fillId="0" borderId="0" xfId="11" applyNumberFormat="1" applyFont="1" applyBorder="1" applyAlignment="1">
      <alignment horizontal="left" vertical="center" wrapText="1"/>
    </xf>
    <xf numFmtId="10" fontId="18" fillId="0" borderId="0" xfId="0" applyNumberFormat="1" applyFont="1" applyAlignment="1">
      <alignment horizontal="left" vertical="center" wrapText="1"/>
    </xf>
    <xf numFmtId="167" fontId="40" fillId="8" borderId="7" xfId="0" applyNumberFormat="1" applyFont="1" applyFill="1" applyBorder="1" applyAlignment="1">
      <alignment horizontal="center" vertical="center" wrapText="1"/>
    </xf>
    <xf numFmtId="167" fontId="40" fillId="8" borderId="67" xfId="0" applyNumberFormat="1" applyFont="1" applyFill="1" applyBorder="1" applyAlignment="1">
      <alignment horizontal="center" vertical="center" wrapText="1"/>
    </xf>
    <xf numFmtId="170" fontId="42" fillId="6" borderId="7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right" vertical="center" wrapText="1"/>
    </xf>
    <xf numFmtId="2" fontId="7" fillId="14" borderId="13" xfId="10" applyNumberFormat="1" applyFont="1" applyFill="1" applyBorder="1" applyAlignment="1">
      <alignment horizontal="right" vertical="center"/>
    </xf>
    <xf numFmtId="10" fontId="17" fillId="0" borderId="58" xfId="10" applyNumberFormat="1" applyFont="1" applyBorder="1" applyAlignment="1">
      <alignment horizontal="center" vertical="center"/>
    </xf>
    <xf numFmtId="167" fontId="42" fillId="5" borderId="14" xfId="0" applyNumberFormat="1" applyFont="1" applyFill="1" applyBorder="1" applyAlignment="1">
      <alignment horizontal="center" vertical="center" wrapText="1"/>
    </xf>
    <xf numFmtId="167" fontId="42" fillId="6" borderId="6" xfId="0" applyNumberFormat="1" applyFont="1" applyFill="1" applyBorder="1" applyAlignment="1">
      <alignment horizontal="center" vertical="center" wrapText="1"/>
    </xf>
    <xf numFmtId="167" fontId="40" fillId="8" borderId="6" xfId="0" applyNumberFormat="1" applyFont="1" applyFill="1" applyBorder="1" applyAlignment="1">
      <alignment horizontal="center" vertical="center" wrapText="1"/>
    </xf>
    <xf numFmtId="170" fontId="42" fillId="6" borderId="6" xfId="0" applyNumberFormat="1" applyFont="1" applyFill="1" applyBorder="1" applyAlignment="1">
      <alignment horizontal="center" vertical="center"/>
    </xf>
    <xf numFmtId="49" fontId="40" fillId="0" borderId="67" xfId="0" applyNumberFormat="1" applyFont="1" applyBorder="1" applyAlignment="1">
      <alignment horizontal="center" vertical="center" wrapText="1"/>
    </xf>
    <xf numFmtId="49" fontId="40" fillId="0" borderId="66" xfId="0" applyNumberFormat="1" applyFont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6" borderId="71" xfId="0" applyFont="1" applyFill="1" applyBorder="1" applyAlignment="1">
      <alignment horizontal="center" vertical="center" wrapText="1"/>
    </xf>
    <xf numFmtId="49" fontId="40" fillId="0" borderId="6" xfId="0" applyNumberFormat="1" applyFont="1" applyBorder="1" applyAlignment="1">
      <alignment horizontal="center" vertical="center" wrapText="1"/>
    </xf>
    <xf numFmtId="2" fontId="40" fillId="0" borderId="6" xfId="0" applyNumberFormat="1" applyFont="1" applyBorder="1" applyAlignment="1">
      <alignment horizontal="center" vertical="center" wrapText="1"/>
    </xf>
    <xf numFmtId="2" fontId="7" fillId="7" borderId="0" xfId="10" applyNumberFormat="1" applyFont="1" applyFill="1"/>
    <xf numFmtId="0" fontId="42" fillId="6" borderId="14" xfId="0" applyFont="1" applyFill="1" applyBorder="1" applyAlignment="1">
      <alignment horizontal="center" vertical="center" wrapText="1"/>
    </xf>
    <xf numFmtId="167" fontId="42" fillId="6" borderId="11" xfId="0" applyNumberFormat="1" applyFont="1" applyFill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0" fillId="18" borderId="72" xfId="0" applyFill="1" applyBorder="1"/>
    <xf numFmtId="0" fontId="0" fillId="17" borderId="72" xfId="0" applyFill="1" applyBorder="1"/>
    <xf numFmtId="0" fontId="0" fillId="0" borderId="0" xfId="0" applyAlignment="1">
      <alignment horizontal="center"/>
    </xf>
    <xf numFmtId="0" fontId="40" fillId="0" borderId="6" xfId="0" applyFont="1" applyBorder="1" applyAlignment="1">
      <alignment vertical="center" wrapText="1"/>
    </xf>
    <xf numFmtId="167" fontId="18" fillId="0" borderId="6" xfId="0" applyNumberFormat="1" applyFont="1" applyBorder="1" applyAlignment="1">
      <alignment horizontal="left" vertical="center" wrapText="1"/>
    </xf>
    <xf numFmtId="14" fontId="17" fillId="0" borderId="6" xfId="0" applyNumberFormat="1" applyFont="1" applyBorder="1" applyAlignment="1">
      <alignment horizontal="left" vertical="center" wrapText="1"/>
    </xf>
    <xf numFmtId="0" fontId="45" fillId="0" borderId="0" xfId="0" applyFont="1"/>
    <xf numFmtId="164" fontId="45" fillId="0" borderId="0" xfId="0" applyNumberFormat="1" applyFont="1"/>
    <xf numFmtId="10" fontId="46" fillId="0" borderId="0" xfId="11" applyNumberFormat="1" applyFont="1"/>
    <xf numFmtId="0" fontId="46" fillId="0" borderId="0" xfId="0" applyFont="1"/>
    <xf numFmtId="0" fontId="46" fillId="0" borderId="6" xfId="0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/>
    </xf>
    <xf numFmtId="167" fontId="40" fillId="0" borderId="66" xfId="0" applyNumberFormat="1" applyFont="1" applyBorder="1" applyAlignment="1">
      <alignment horizontal="center" vertical="center" wrapText="1"/>
    </xf>
    <xf numFmtId="167" fontId="40" fillId="0" borderId="75" xfId="0" applyNumberFormat="1" applyFont="1" applyBorder="1" applyAlignment="1">
      <alignment horizontal="center" vertical="center" wrapText="1"/>
    </xf>
    <xf numFmtId="167" fontId="40" fillId="8" borderId="66" xfId="0" applyNumberFormat="1" applyFont="1" applyFill="1" applyBorder="1" applyAlignment="1">
      <alignment horizontal="center" vertical="center" wrapText="1"/>
    </xf>
    <xf numFmtId="169" fontId="40" fillId="0" borderId="6" xfId="0" applyNumberFormat="1" applyFont="1" applyBorder="1" applyAlignment="1">
      <alignment horizontal="center" vertical="center" wrapText="1"/>
    </xf>
    <xf numFmtId="169" fontId="40" fillId="0" borderId="7" xfId="0" applyNumberFormat="1" applyFont="1" applyBorder="1" applyAlignment="1">
      <alignment horizontal="center" vertical="center" wrapText="1"/>
    </xf>
    <xf numFmtId="170" fontId="42" fillId="6" borderId="12" xfId="0" applyNumberFormat="1" applyFont="1" applyFill="1" applyBorder="1" applyAlignment="1">
      <alignment horizontal="center" vertical="center"/>
    </xf>
    <xf numFmtId="167" fontId="42" fillId="6" borderId="67" xfId="0" applyNumberFormat="1" applyFont="1" applyFill="1" applyBorder="1" applyAlignment="1">
      <alignment horizontal="center" vertical="center" wrapText="1"/>
    </xf>
    <xf numFmtId="170" fontId="42" fillId="6" borderId="13" xfId="0" applyNumberFormat="1" applyFont="1" applyFill="1" applyBorder="1" applyAlignment="1">
      <alignment horizontal="center" vertical="center"/>
    </xf>
    <xf numFmtId="170" fontId="42" fillId="6" borderId="14" xfId="0" applyNumberFormat="1" applyFont="1" applyFill="1" applyBorder="1" applyAlignment="1">
      <alignment horizontal="center" vertical="center"/>
    </xf>
    <xf numFmtId="170" fontId="42" fillId="6" borderId="1" xfId="0" applyNumberFormat="1" applyFont="1" applyFill="1" applyBorder="1" applyAlignment="1">
      <alignment horizontal="center" vertical="center"/>
    </xf>
    <xf numFmtId="0" fontId="34" fillId="19" borderId="48" xfId="10" applyFont="1" applyFill="1" applyBorder="1" applyAlignment="1">
      <alignment horizontal="center" vertical="center"/>
    </xf>
    <xf numFmtId="0" fontId="26" fillId="19" borderId="49" xfId="10" applyFont="1" applyFill="1" applyBorder="1" applyAlignment="1">
      <alignment horizontal="center" vertical="center"/>
    </xf>
    <xf numFmtId="10" fontId="34" fillId="19" borderId="49" xfId="10" applyNumberFormat="1" applyFont="1" applyFill="1" applyBorder="1" applyAlignment="1">
      <alignment horizontal="center" vertical="center"/>
    </xf>
    <xf numFmtId="39" fontId="36" fillId="19" borderId="10" xfId="10" applyNumberFormat="1" applyFont="1" applyFill="1" applyBorder="1" applyAlignment="1">
      <alignment horizontal="center" vertical="center"/>
    </xf>
    <xf numFmtId="174" fontId="25" fillId="19" borderId="10" xfId="10" applyNumberFormat="1" applyFont="1" applyFill="1" applyBorder="1" applyAlignment="1">
      <alignment horizontal="center" vertical="center"/>
    </xf>
    <xf numFmtId="10" fontId="25" fillId="19" borderId="57" xfId="10" applyNumberFormat="1" applyFont="1" applyFill="1" applyBorder="1" applyAlignment="1">
      <alignment horizontal="center" vertical="center"/>
    </xf>
    <xf numFmtId="39" fontId="25" fillId="21" borderId="53" xfId="10" applyNumberFormat="1" applyFont="1" applyFill="1" applyBorder="1" applyAlignment="1">
      <alignment horizontal="center" vertical="center"/>
    </xf>
    <xf numFmtId="10" fontId="25" fillId="21" borderId="10" xfId="10" applyNumberFormat="1" applyFont="1" applyFill="1" applyBorder="1" applyAlignment="1">
      <alignment horizontal="center" vertical="center"/>
    </xf>
    <xf numFmtId="4" fontId="21" fillId="22" borderId="53" xfId="10" applyNumberFormat="1" applyFont="1" applyFill="1" applyBorder="1" applyAlignment="1">
      <alignment horizontal="center" vertical="center"/>
    </xf>
    <xf numFmtId="0" fontId="16" fillId="23" borderId="50" xfId="10" applyFont="1" applyFill="1" applyBorder="1" applyAlignment="1">
      <alignment horizontal="center" vertical="center"/>
    </xf>
    <xf numFmtId="4" fontId="16" fillId="22" borderId="54" xfId="10" applyNumberFormat="1" applyFont="1" applyFill="1" applyBorder="1" applyAlignment="1">
      <alignment horizontal="center" vertical="center"/>
    </xf>
    <xf numFmtId="10" fontId="16" fillId="0" borderId="59" xfId="10" applyNumberFormat="1" applyFont="1" applyBorder="1" applyAlignment="1">
      <alignment horizontal="center" vertical="center"/>
    </xf>
    <xf numFmtId="49" fontId="17" fillId="0" borderId="6" xfId="10" applyNumberFormat="1" applyFont="1" applyBorder="1" applyAlignment="1">
      <alignment vertical="center" wrapText="1"/>
    </xf>
    <xf numFmtId="0" fontId="10" fillId="0" borderId="7" xfId="10" applyFont="1" applyBorder="1" applyAlignment="1">
      <alignment horizontal="left" vertical="center"/>
    </xf>
    <xf numFmtId="14" fontId="21" fillId="0" borderId="6" xfId="10" applyNumberFormat="1" applyFont="1" applyBorder="1" applyAlignment="1">
      <alignment horizontal="left" vertical="center" wrapText="1"/>
    </xf>
    <xf numFmtId="0" fontId="7" fillId="0" borderId="17" xfId="10" applyFont="1" applyBorder="1"/>
    <xf numFmtId="169" fontId="40" fillId="0" borderId="67" xfId="0" applyNumberFormat="1" applyFont="1" applyBorder="1" applyAlignment="1">
      <alignment horizontal="center" vertical="center" wrapText="1"/>
    </xf>
    <xf numFmtId="0" fontId="21" fillId="0" borderId="16" xfId="10" applyFont="1" applyBorder="1" applyAlignment="1">
      <alignment vertical="center" wrapText="1"/>
    </xf>
    <xf numFmtId="0" fontId="16" fillId="10" borderId="6" xfId="10" applyFont="1" applyFill="1" applyBorder="1" applyAlignment="1">
      <alignment horizontal="right" vertical="center"/>
    </xf>
    <xf numFmtId="167" fontId="17" fillId="0" borderId="6" xfId="10" applyNumberFormat="1" applyFont="1" applyBorder="1" applyAlignment="1">
      <alignment horizontal="center" vertical="center" wrapText="1"/>
    </xf>
    <xf numFmtId="0" fontId="16" fillId="10" borderId="6" xfId="1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vertical="center" wrapText="1"/>
    </xf>
    <xf numFmtId="0" fontId="42" fillId="6" borderId="44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0" fontId="17" fillId="0" borderId="0" xfId="10" applyFont="1" applyAlignment="1">
      <alignment horizontal="left" vertical="center"/>
    </xf>
    <xf numFmtId="14" fontId="21" fillId="0" borderId="7" xfId="10" applyNumberFormat="1" applyFont="1" applyBorder="1" applyAlignment="1">
      <alignment horizontal="left" vertical="center" wrapText="1"/>
    </xf>
    <xf numFmtId="0" fontId="11" fillId="0" borderId="7" xfId="10" applyFont="1" applyBorder="1" applyAlignment="1">
      <alignment vertical="center" wrapText="1"/>
    </xf>
    <xf numFmtId="167" fontId="10" fillId="0" borderId="9" xfId="10" applyNumberFormat="1" applyFont="1" applyBorder="1" applyAlignment="1">
      <alignment horizontal="right" vertical="center" wrapText="1"/>
    </xf>
    <xf numFmtId="0" fontId="16" fillId="10" borderId="6" xfId="10" applyFont="1" applyFill="1" applyBorder="1" applyAlignment="1">
      <alignment horizontal="center" vertical="center" wrapText="1"/>
    </xf>
    <xf numFmtId="171" fontId="16" fillId="10" borderId="6" xfId="10" applyNumberFormat="1" applyFont="1" applyFill="1" applyBorder="1" applyAlignment="1">
      <alignment horizontal="center" vertical="center" wrapText="1"/>
    </xf>
    <xf numFmtId="167" fontId="16" fillId="10" borderId="6" xfId="1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167" fontId="18" fillId="0" borderId="1" xfId="0" applyNumberFormat="1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7" fontId="42" fillId="5" borderId="6" xfId="0" applyNumberFormat="1" applyFont="1" applyFill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0" fillId="0" borderId="13" xfId="0" applyFont="1" applyBorder="1"/>
    <xf numFmtId="49" fontId="42" fillId="5" borderId="12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2" fillId="5" borderId="6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167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43" fillId="6" borderId="14" xfId="0" applyFont="1" applyFill="1" applyBorder="1" applyAlignment="1">
      <alignment horizontal="left" vertical="center" wrapText="1"/>
    </xf>
    <xf numFmtId="0" fontId="43" fillId="6" borderId="11" xfId="0" applyFont="1" applyFill="1" applyBorder="1" applyAlignment="1">
      <alignment horizontal="left" vertical="center" wrapText="1"/>
    </xf>
    <xf numFmtId="0" fontId="43" fillId="6" borderId="15" xfId="0" applyFont="1" applyFill="1" applyBorder="1" applyAlignment="1">
      <alignment horizontal="left" vertical="center" wrapText="1"/>
    </xf>
    <xf numFmtId="0" fontId="42" fillId="6" borderId="11" xfId="0" applyFont="1" applyFill="1" applyBorder="1" applyAlignment="1">
      <alignment horizontal="right" vertical="center" wrapText="1"/>
    </xf>
    <xf numFmtId="0" fontId="42" fillId="6" borderId="44" xfId="0" applyFont="1" applyFill="1" applyBorder="1" applyAlignment="1">
      <alignment horizontal="right" vertical="center" wrapText="1"/>
    </xf>
    <xf numFmtId="0" fontId="46" fillId="0" borderId="6" xfId="0" applyFont="1" applyBorder="1" applyAlignment="1">
      <alignment horizontal="center" vertical="center"/>
    </xf>
    <xf numFmtId="0" fontId="45" fillId="0" borderId="6" xfId="0" applyFont="1" applyBorder="1" applyAlignment="1">
      <alignment horizontal="left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/>
    </xf>
    <xf numFmtId="0" fontId="46" fillId="0" borderId="0" xfId="0" applyFont="1" applyAlignment="1">
      <alignment horizontal="right"/>
    </xf>
    <xf numFmtId="167" fontId="10" fillId="0" borderId="6" xfId="0" applyNumberFormat="1" applyFont="1" applyBorder="1" applyAlignment="1">
      <alignment horizontal="center" vertical="center" wrapText="1"/>
    </xf>
    <xf numFmtId="167" fontId="18" fillId="0" borderId="6" xfId="0" applyNumberFormat="1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vertical="center" wrapText="1"/>
    </xf>
    <xf numFmtId="0" fontId="19" fillId="0" borderId="74" xfId="0" applyFont="1" applyBorder="1" applyAlignment="1">
      <alignment horizontal="left" vertical="center" wrapText="1"/>
    </xf>
    <xf numFmtId="49" fontId="17" fillId="0" borderId="75" xfId="0" applyNumberFormat="1" applyFont="1" applyBorder="1" applyAlignment="1">
      <alignment horizontal="left" vertical="center" wrapText="1"/>
    </xf>
    <xf numFmtId="49" fontId="17" fillId="0" borderId="76" xfId="0" applyNumberFormat="1" applyFont="1" applyBorder="1" applyAlignment="1">
      <alignment horizontal="left" vertical="center" wrapText="1"/>
    </xf>
    <xf numFmtId="49" fontId="17" fillId="0" borderId="77" xfId="0" applyNumberFormat="1" applyFont="1" applyBorder="1" applyAlignment="1">
      <alignment horizontal="left" vertical="center" wrapText="1"/>
    </xf>
    <xf numFmtId="49" fontId="17" fillId="0" borderId="78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79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0" xfId="0" applyFont="1"/>
    <xf numFmtId="0" fontId="42" fillId="6" borderId="81" xfId="0" applyFont="1" applyFill="1" applyBorder="1" applyAlignment="1">
      <alignment horizontal="right" vertical="center" wrapText="1"/>
    </xf>
    <xf numFmtId="0" fontId="3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9" borderId="6" xfId="10" applyFont="1" applyFill="1" applyBorder="1" applyAlignment="1">
      <alignment horizontal="center" vertical="center" wrapText="1"/>
    </xf>
    <xf numFmtId="49" fontId="17" fillId="0" borderId="6" xfId="10" applyNumberFormat="1" applyFont="1" applyBorder="1" applyAlignment="1">
      <alignment horizontal="left" vertical="center" wrapText="1"/>
    </xf>
    <xf numFmtId="0" fontId="16" fillId="10" borderId="2" xfId="10" applyFont="1" applyFill="1" applyBorder="1" applyAlignment="1">
      <alignment horizontal="center" vertical="center" wrapText="1"/>
    </xf>
    <xf numFmtId="0" fontId="26" fillId="10" borderId="3" xfId="10" applyFont="1" applyFill="1" applyBorder="1" applyAlignment="1">
      <alignment horizontal="center" vertical="center" wrapText="1"/>
    </xf>
    <xf numFmtId="0" fontId="26" fillId="10" borderId="4" xfId="10" applyFont="1" applyFill="1" applyBorder="1" applyAlignment="1">
      <alignment horizontal="center" vertical="center" wrapText="1"/>
    </xf>
    <xf numFmtId="0" fontId="26" fillId="0" borderId="16" xfId="10" applyFont="1" applyBorder="1" applyAlignment="1">
      <alignment horizontal="center" vertical="center" wrapText="1"/>
    </xf>
    <xf numFmtId="0" fontId="22" fillId="0" borderId="0" xfId="10"/>
    <xf numFmtId="0" fontId="7" fillId="0" borderId="17" xfId="10" applyFont="1" applyBorder="1"/>
    <xf numFmtId="0" fontId="47" fillId="0" borderId="6" xfId="13" applyBorder="1" applyAlignment="1">
      <alignment horizontal="center" vertical="center" wrapText="1"/>
    </xf>
    <xf numFmtId="167" fontId="26" fillId="0" borderId="0" xfId="10" applyNumberFormat="1" applyFont="1" applyAlignment="1">
      <alignment horizontal="center" vertical="center" wrapText="1"/>
    </xf>
    <xf numFmtId="0" fontId="26" fillId="0" borderId="0" xfId="10" applyFont="1" applyAlignment="1">
      <alignment horizontal="center" vertical="center" wrapText="1"/>
    </xf>
    <xf numFmtId="0" fontId="10" fillId="0" borderId="0" xfId="10" applyFont="1" applyAlignment="1">
      <alignment horizontal="center" vertical="center" wrapText="1"/>
    </xf>
    <xf numFmtId="0" fontId="7" fillId="0" borderId="0" xfId="10" applyFont="1"/>
    <xf numFmtId="0" fontId="7" fillId="0" borderId="11" xfId="10" applyFont="1" applyBorder="1"/>
    <xf numFmtId="0" fontId="26" fillId="10" borderId="26" xfId="10" applyFont="1" applyFill="1" applyBorder="1" applyAlignment="1">
      <alignment horizontal="left" vertical="center" wrapText="1"/>
    </xf>
    <xf numFmtId="0" fontId="7" fillId="0" borderId="26" xfId="10" applyFont="1" applyBorder="1"/>
    <xf numFmtId="0" fontId="21" fillId="11" borderId="6" xfId="10" applyFont="1" applyFill="1" applyBorder="1" applyAlignment="1">
      <alignment horizontal="right" vertical="center"/>
    </xf>
    <xf numFmtId="0" fontId="7" fillId="0" borderId="6" xfId="10" applyFont="1" applyBorder="1"/>
    <xf numFmtId="0" fontId="26" fillId="0" borderId="16" xfId="10" applyFont="1" applyBorder="1" applyAlignment="1">
      <alignment horizontal="left" vertical="center" wrapText="1"/>
    </xf>
    <xf numFmtId="0" fontId="21" fillId="0" borderId="16" xfId="10" applyFont="1" applyBorder="1" applyAlignment="1">
      <alignment horizontal="right" vertical="center" wrapText="1"/>
    </xf>
    <xf numFmtId="0" fontId="26" fillId="9" borderId="26" xfId="10" applyFont="1" applyFill="1" applyBorder="1" applyAlignment="1">
      <alignment horizontal="left" vertical="center" wrapText="1"/>
    </xf>
    <xf numFmtId="0" fontId="7" fillId="0" borderId="28" xfId="10" applyFont="1" applyBorder="1"/>
    <xf numFmtId="0" fontId="17" fillId="11" borderId="6" xfId="10" applyFont="1" applyFill="1" applyBorder="1" applyAlignment="1">
      <alignment horizontal="right" vertical="center"/>
    </xf>
    <xf numFmtId="0" fontId="26" fillId="10" borderId="6" xfId="10" applyFont="1" applyFill="1" applyBorder="1" applyAlignment="1">
      <alignment horizontal="center" vertical="center" wrapText="1"/>
    </xf>
    <xf numFmtId="0" fontId="16" fillId="11" borderId="2" xfId="10" applyFont="1" applyFill="1" applyBorder="1" applyAlignment="1">
      <alignment horizontal="right" vertical="center"/>
    </xf>
    <xf numFmtId="0" fontId="16" fillId="11" borderId="3" xfId="10" applyFont="1" applyFill="1" applyBorder="1" applyAlignment="1">
      <alignment horizontal="right" vertical="center"/>
    </xf>
    <xf numFmtId="0" fontId="16" fillId="11" borderId="4" xfId="10" applyFont="1" applyFill="1" applyBorder="1" applyAlignment="1">
      <alignment horizontal="right" vertical="center"/>
    </xf>
    <xf numFmtId="0" fontId="21" fillId="11" borderId="25" xfId="10" applyFont="1" applyFill="1" applyBorder="1" applyAlignment="1">
      <alignment horizontal="right" vertical="center"/>
    </xf>
    <xf numFmtId="0" fontId="21" fillId="0" borderId="6" xfId="10" applyFont="1" applyBorder="1" applyAlignment="1">
      <alignment horizontal="center" vertical="center" wrapText="1"/>
    </xf>
    <xf numFmtId="0" fontId="26" fillId="0" borderId="0" xfId="10" applyFont="1" applyAlignment="1">
      <alignment horizontal="left" vertical="center" wrapText="1"/>
    </xf>
    <xf numFmtId="0" fontId="21" fillId="0" borderId="0" xfId="10" applyFont="1" applyAlignment="1">
      <alignment horizontal="right" vertical="center"/>
    </xf>
    <xf numFmtId="0" fontId="26" fillId="9" borderId="35" xfId="10" applyFont="1" applyFill="1" applyBorder="1" applyAlignment="1">
      <alignment horizontal="left" vertical="center" wrapText="1"/>
    </xf>
    <xf numFmtId="0" fontId="7" fillId="0" borderId="36" xfId="10" applyFont="1" applyBorder="1"/>
    <xf numFmtId="0" fontId="7" fillId="0" borderId="37" xfId="10" applyFont="1" applyBorder="1"/>
    <xf numFmtId="0" fontId="26" fillId="10" borderId="25" xfId="10" applyFont="1" applyFill="1" applyBorder="1" applyAlignment="1">
      <alignment horizontal="left" vertical="center" wrapText="1"/>
    </xf>
    <xf numFmtId="0" fontId="21" fillId="0" borderId="0" xfId="10" applyFont="1" applyAlignment="1">
      <alignment horizontal="center" vertical="center"/>
    </xf>
    <xf numFmtId="0" fontId="21" fillId="11" borderId="7" xfId="10" applyFont="1" applyFill="1" applyBorder="1" applyAlignment="1">
      <alignment horizontal="right" vertical="center"/>
    </xf>
    <xf numFmtId="0" fontId="7" fillId="0" borderId="9" xfId="10" applyFont="1" applyBorder="1"/>
    <xf numFmtId="0" fontId="7" fillId="0" borderId="8" xfId="10" applyFont="1" applyBorder="1"/>
    <xf numFmtId="0" fontId="21" fillId="11" borderId="14" xfId="10" applyFont="1" applyFill="1" applyBorder="1" applyAlignment="1">
      <alignment horizontal="right" vertical="center"/>
    </xf>
    <xf numFmtId="0" fontId="7" fillId="0" borderId="44" xfId="10" applyFont="1" applyBorder="1"/>
    <xf numFmtId="0" fontId="26" fillId="9" borderId="25" xfId="10" applyFont="1" applyFill="1" applyBorder="1" applyAlignment="1">
      <alignment horizontal="left" vertical="center" wrapText="1"/>
    </xf>
    <xf numFmtId="0" fontId="21" fillId="11" borderId="45" xfId="10" applyFont="1" applyFill="1" applyBorder="1" applyAlignment="1">
      <alignment horizontal="right" vertical="center"/>
    </xf>
    <xf numFmtId="0" fontId="7" fillId="0" borderId="46" xfId="10" applyFont="1" applyBorder="1"/>
    <xf numFmtId="0" fontId="7" fillId="0" borderId="47" xfId="10" applyFont="1" applyBorder="1"/>
    <xf numFmtId="0" fontId="32" fillId="0" borderId="45" xfId="10" applyFont="1" applyBorder="1" applyAlignment="1">
      <alignment horizontal="right" vertical="center"/>
    </xf>
    <xf numFmtId="167" fontId="26" fillId="0" borderId="6" xfId="10" applyNumberFormat="1" applyFont="1" applyBorder="1" applyAlignment="1">
      <alignment horizontal="center" vertical="center" wrapText="1"/>
    </xf>
    <xf numFmtId="0" fontId="26" fillId="0" borderId="6" xfId="10" applyFont="1" applyBorder="1" applyAlignment="1">
      <alignment horizontal="center" vertical="center" wrapText="1"/>
    </xf>
    <xf numFmtId="0" fontId="26" fillId="0" borderId="58" xfId="10" applyFont="1" applyBorder="1" applyAlignment="1">
      <alignment horizontal="center" vertical="center"/>
    </xf>
    <xf numFmtId="0" fontId="26" fillId="0" borderId="80" xfId="10" applyFont="1" applyBorder="1" applyAlignment="1">
      <alignment horizontal="center" vertical="center"/>
    </xf>
    <xf numFmtId="0" fontId="21" fillId="0" borderId="51" xfId="10" applyFont="1" applyBorder="1" applyAlignment="1">
      <alignment horizontal="center" vertical="center" wrapText="1"/>
    </xf>
    <xf numFmtId="0" fontId="7" fillId="0" borderId="55" xfId="10" applyFont="1" applyBorder="1"/>
    <xf numFmtId="0" fontId="21" fillId="0" borderId="52" xfId="10" applyFont="1" applyBorder="1" applyAlignment="1">
      <alignment horizontal="left" vertical="center" wrapText="1"/>
    </xf>
    <xf numFmtId="0" fontId="7" fillId="0" borderId="56" xfId="10" applyFont="1" applyBorder="1"/>
    <xf numFmtId="4" fontId="21" fillId="0" borderId="52" xfId="10" applyNumberFormat="1" applyFont="1" applyBorder="1" applyAlignment="1">
      <alignment horizontal="center" vertical="center" wrapText="1"/>
    </xf>
    <xf numFmtId="10" fontId="35" fillId="0" borderId="52" xfId="10" applyNumberFormat="1" applyFont="1" applyBorder="1" applyAlignment="1">
      <alignment horizontal="center" vertical="center"/>
    </xf>
    <xf numFmtId="0" fontId="21" fillId="0" borderId="6" xfId="10" applyFont="1" applyBorder="1" applyAlignment="1">
      <alignment horizontal="left" vertical="center" wrapText="1"/>
    </xf>
    <xf numFmtId="0" fontId="38" fillId="0" borderId="0" xfId="10" applyFont="1" applyAlignment="1">
      <alignment horizontal="center" vertical="center" wrapText="1"/>
    </xf>
    <xf numFmtId="167" fontId="21" fillId="0" borderId="0" xfId="10" applyNumberFormat="1" applyFont="1" applyAlignment="1">
      <alignment horizontal="center" vertical="center"/>
    </xf>
    <xf numFmtId="0" fontId="26" fillId="21" borderId="60" xfId="10" applyFont="1" applyFill="1" applyBorder="1" applyAlignment="1">
      <alignment horizontal="right" vertical="center"/>
    </xf>
    <xf numFmtId="0" fontId="7" fillId="17" borderId="61" xfId="10" applyFont="1" applyFill="1" applyBorder="1"/>
    <xf numFmtId="4" fontId="36" fillId="19" borderId="52" xfId="10" applyNumberFormat="1" applyFont="1" applyFill="1" applyBorder="1" applyAlignment="1">
      <alignment horizontal="center" vertical="center"/>
    </xf>
    <xf numFmtId="0" fontId="7" fillId="20" borderId="63" xfId="10" applyFont="1" applyFill="1" applyBorder="1"/>
    <xf numFmtId="0" fontId="7" fillId="20" borderId="56" xfId="10" applyFont="1" applyFill="1" applyBorder="1"/>
    <xf numFmtId="9" fontId="34" fillId="19" borderId="52" xfId="10" applyNumberFormat="1" applyFont="1" applyFill="1" applyBorder="1" applyAlignment="1">
      <alignment horizontal="center" vertical="center"/>
    </xf>
    <xf numFmtId="0" fontId="26" fillId="21" borderId="62" xfId="10" applyFont="1" applyFill="1" applyBorder="1" applyAlignment="1">
      <alignment horizontal="right" vertical="center"/>
    </xf>
    <xf numFmtId="0" fontId="7" fillId="17" borderId="8" xfId="10" applyFont="1" applyFill="1" applyBorder="1"/>
    <xf numFmtId="0" fontId="26" fillId="19" borderId="62" xfId="10" applyFont="1" applyFill="1" applyBorder="1" applyAlignment="1">
      <alignment horizontal="right" vertical="center"/>
    </xf>
    <xf numFmtId="0" fontId="7" fillId="20" borderId="8" xfId="10" applyFont="1" applyFill="1" applyBorder="1"/>
    <xf numFmtId="0" fontId="26" fillId="19" borderId="64" xfId="10" applyFont="1" applyFill="1" applyBorder="1" applyAlignment="1">
      <alignment horizontal="right" vertical="center"/>
    </xf>
    <xf numFmtId="0" fontId="7" fillId="20" borderId="65" xfId="10" applyFont="1" applyFill="1" applyBorder="1"/>
    <xf numFmtId="174" fontId="21" fillId="0" borderId="0" xfId="10" applyNumberFormat="1" applyFont="1" applyAlignment="1">
      <alignment horizontal="center" vertical="center"/>
    </xf>
    <xf numFmtId="0" fontId="21" fillId="0" borderId="0" xfId="10" applyFont="1" applyAlignment="1">
      <alignment horizontal="left" vertical="center"/>
    </xf>
    <xf numFmtId="0" fontId="21" fillId="0" borderId="0" xfId="10" applyFont="1" applyAlignment="1">
      <alignment horizontal="left" vertical="center" wrapText="1"/>
    </xf>
    <xf numFmtId="0" fontId="26" fillId="0" borderId="14" xfId="10" applyFont="1" applyBorder="1" applyAlignment="1">
      <alignment horizontal="center" vertical="center" wrapText="1"/>
    </xf>
    <xf numFmtId="0" fontId="7" fillId="0" borderId="11" xfId="10" applyFont="1" applyBorder="1" applyAlignment="1">
      <alignment wrapText="1"/>
    </xf>
    <xf numFmtId="0" fontId="7" fillId="0" borderId="44" xfId="10" applyFont="1" applyBorder="1" applyAlignment="1">
      <alignment wrapText="1"/>
    </xf>
    <xf numFmtId="168" fontId="26" fillId="0" borderId="7" xfId="10" applyNumberFormat="1" applyFont="1" applyBorder="1" applyAlignment="1">
      <alignment horizontal="center" vertical="center" wrapText="1"/>
    </xf>
    <xf numFmtId="0" fontId="11" fillId="0" borderId="6" xfId="1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/>
    </xf>
  </cellXfs>
  <cellStyles count="14">
    <cellStyle name="Hiperlink" xfId="13" builtinId="8"/>
    <cellStyle name="Moeda" xfId="1" builtinId="4"/>
    <cellStyle name="Moeda 3" xfId="4" xr:uid="{00000000-0005-0000-0000-000002000000}"/>
    <cellStyle name="Normal" xfId="0" builtinId="0"/>
    <cellStyle name="Normal 2" xfId="3" xr:uid="{00000000-0005-0000-0000-000004000000}"/>
    <cellStyle name="Normal 2 2" xfId="9" xr:uid="{00000000-0005-0000-0000-000005000000}"/>
    <cellStyle name="Normal 3" xfId="10" xr:uid="{00000000-0005-0000-0000-000006000000}"/>
    <cellStyle name="Normal 4" xfId="8" xr:uid="{00000000-0005-0000-0000-000007000000}"/>
    <cellStyle name="Normal 4 2" xfId="2" xr:uid="{00000000-0005-0000-0000-000008000000}"/>
    <cellStyle name="Normal 5" xfId="12" xr:uid="{00000000-0005-0000-0000-000009000000}"/>
    <cellStyle name="Porcentagem" xfId="11" builtinId="5"/>
    <cellStyle name="Porcentagem 2" xfId="5" xr:uid="{00000000-0005-0000-0000-00000B000000}"/>
    <cellStyle name="Porcentagem 3" xfId="6" xr:uid="{00000000-0005-0000-0000-00000C000000}"/>
    <cellStyle name="Separador de milhares 2 2" xfId="7" xr:uid="{00000000-0005-0000-0000-00000D000000}"/>
  </cellStyles>
  <dxfs count="2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0C0C0"/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161925</xdr:rowOff>
    </xdr:from>
    <xdr:ext cx="523875" cy="28575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F1C4022C-B88B-4F67-8603-9A15801F7B53}"/>
            </a:ext>
          </a:extLst>
        </xdr:cNvPr>
        <xdr:cNvSpPr/>
      </xdr:nvSpPr>
      <xdr:spPr>
        <a:xfrm>
          <a:off x="1238250" y="762000"/>
          <a:ext cx="523875" cy="28575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lang="pt-BR" sz="1100"/>
        </a:p>
      </xdr:txBody>
    </xdr:sp>
    <xdr:clientData fLocksWithSheet="0"/>
  </xdr:oneCellAnchor>
  <xdr:twoCellAnchor editAs="oneCell">
    <xdr:from>
      <xdr:col>0</xdr:col>
      <xdr:colOff>178593</xdr:colOff>
      <xdr:row>0</xdr:row>
      <xdr:rowOff>80961</xdr:rowOff>
    </xdr:from>
    <xdr:to>
      <xdr:col>1</xdr:col>
      <xdr:colOff>631030</xdr:colOff>
      <xdr:row>3</xdr:row>
      <xdr:rowOff>375283</xdr:rowOff>
    </xdr:to>
    <xdr:pic>
      <xdr:nvPicPr>
        <xdr:cNvPr id="3" name="Imagem 2" descr="IFRN libera resultado dos seus Vestibulares 2017/2 via Enem">
          <a:extLst>
            <a:ext uri="{FF2B5EF4-FFF2-40B4-BE49-F238E27FC236}">
              <a16:creationId xmlns:a16="http://schemas.microsoft.com/office/drawing/2014/main" id="{F4040664-8C1C-4B60-900D-C1FCC47C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3" y="80961"/>
          <a:ext cx="1690687" cy="901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161925</xdr:rowOff>
    </xdr:from>
    <xdr:ext cx="523875" cy="28575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AB6189E-38B4-4E9F-B940-20CB521FA28B}"/>
            </a:ext>
          </a:extLst>
        </xdr:cNvPr>
        <xdr:cNvSpPr/>
      </xdr:nvSpPr>
      <xdr:spPr>
        <a:xfrm>
          <a:off x="1123950" y="762000"/>
          <a:ext cx="523875" cy="28575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lang="pt-BR" sz="1100"/>
        </a:p>
      </xdr:txBody>
    </xdr:sp>
    <xdr:clientData fLocksWithSheet="0"/>
  </xdr:oneCellAnchor>
  <xdr:twoCellAnchor editAs="oneCell">
    <xdr:from>
      <xdr:col>0</xdr:col>
      <xdr:colOff>47625</xdr:colOff>
      <xdr:row>0</xdr:row>
      <xdr:rowOff>57149</xdr:rowOff>
    </xdr:from>
    <xdr:to>
      <xdr:col>1</xdr:col>
      <xdr:colOff>91011</xdr:colOff>
      <xdr:row>3</xdr:row>
      <xdr:rowOff>133349</xdr:rowOff>
    </xdr:to>
    <xdr:pic>
      <xdr:nvPicPr>
        <xdr:cNvPr id="3" name="Imagem 2" descr="IFRN libera resultado dos seus Vestibulares 2017/2 via Enem">
          <a:extLst>
            <a:ext uri="{FF2B5EF4-FFF2-40B4-BE49-F238E27FC236}">
              <a16:creationId xmlns:a16="http://schemas.microsoft.com/office/drawing/2014/main" id="{D7B3A8C3-7FE5-4C46-B508-A8688CFB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49"/>
          <a:ext cx="1290601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161925</xdr:rowOff>
    </xdr:from>
    <xdr:ext cx="523875" cy="28575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3C0D590-91E1-4730-BB8D-ABB3DC70B213}"/>
            </a:ext>
          </a:extLst>
        </xdr:cNvPr>
        <xdr:cNvSpPr/>
      </xdr:nvSpPr>
      <xdr:spPr>
        <a:xfrm>
          <a:off x="1114425" y="733425"/>
          <a:ext cx="523875" cy="28575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lang="pt-BR" sz="1100"/>
        </a:p>
      </xdr:txBody>
    </xdr:sp>
    <xdr:clientData fLocksWithSheet="0"/>
  </xdr:oneCellAnchor>
  <xdr:twoCellAnchor editAs="oneCell">
    <xdr:from>
      <xdr:col>0</xdr:col>
      <xdr:colOff>95250</xdr:colOff>
      <xdr:row>0</xdr:row>
      <xdr:rowOff>19050</xdr:rowOff>
    </xdr:from>
    <xdr:to>
      <xdr:col>1</xdr:col>
      <xdr:colOff>779890</xdr:colOff>
      <xdr:row>3</xdr:row>
      <xdr:rowOff>95250</xdr:rowOff>
    </xdr:to>
    <xdr:pic>
      <xdr:nvPicPr>
        <xdr:cNvPr id="4" name="Imagem 3" descr="IFRN libera resultado dos seus Vestibulares 2017/2 via Enem">
          <a:extLst>
            <a:ext uri="{FF2B5EF4-FFF2-40B4-BE49-F238E27FC236}">
              <a16:creationId xmlns:a16="http://schemas.microsoft.com/office/drawing/2014/main" id="{AA536A10-0523-40D0-BDDE-316B7E28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1290601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</xdr:rowOff>
    </xdr:from>
    <xdr:to>
      <xdr:col>1</xdr:col>
      <xdr:colOff>1297</xdr:colOff>
      <xdr:row>3</xdr:row>
      <xdr:rowOff>28179</xdr:rowOff>
    </xdr:to>
    <xdr:pic>
      <xdr:nvPicPr>
        <xdr:cNvPr id="4" name="Imagem 3" descr="IFRN libera resultado dos seus Vestibulares 2017/2 via Enem">
          <a:extLst>
            <a:ext uri="{FF2B5EF4-FFF2-40B4-BE49-F238E27FC236}">
              <a16:creationId xmlns:a16="http://schemas.microsoft.com/office/drawing/2014/main" id="{CD844E18-D60E-4B20-92D2-0A77E7BF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1"/>
          <a:ext cx="799809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21167</xdr:rowOff>
    </xdr:from>
    <xdr:to>
      <xdr:col>1</xdr:col>
      <xdr:colOff>719101</xdr:colOff>
      <xdr:row>1</xdr:row>
      <xdr:rowOff>327025</xdr:rowOff>
    </xdr:to>
    <xdr:pic>
      <xdr:nvPicPr>
        <xdr:cNvPr id="4" name="Imagem 3" descr="IFRN libera resultado dos seus Vestibulares 2017/2 via Enem">
          <a:extLst>
            <a:ext uri="{FF2B5EF4-FFF2-40B4-BE49-F238E27FC236}">
              <a16:creationId xmlns:a16="http://schemas.microsoft.com/office/drawing/2014/main" id="{53F6632A-7D92-4C65-9007-3EA7F130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1167"/>
          <a:ext cx="1290601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3</xdr:row>
      <xdr:rowOff>161925</xdr:rowOff>
    </xdr:from>
    <xdr:ext cx="5238750" cy="3810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F652D14-1E33-4C64-B336-425ED261CC1A}"/>
            </a:ext>
          </a:extLst>
        </xdr:cNvPr>
        <xdr:cNvSpPr/>
      </xdr:nvSpPr>
      <xdr:spPr>
        <a:xfrm>
          <a:off x="742950" y="762000"/>
          <a:ext cx="5238750" cy="38100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0</xdr:col>
      <xdr:colOff>85725</xdr:colOff>
      <xdr:row>19</xdr:row>
      <xdr:rowOff>9525</xdr:rowOff>
    </xdr:from>
    <xdr:ext cx="3133725" cy="400050"/>
    <xdr:pic>
      <xdr:nvPicPr>
        <xdr:cNvPr id="3" name="image4.png">
          <a:extLst>
            <a:ext uri="{FF2B5EF4-FFF2-40B4-BE49-F238E27FC236}">
              <a16:creationId xmlns:a16="http://schemas.microsoft.com/office/drawing/2014/main" id="{922B66DA-DC4C-4857-98CF-05EBF4606A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000500"/>
          <a:ext cx="3133725" cy="400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2571750</xdr:colOff>
      <xdr:row>22</xdr:row>
      <xdr:rowOff>76200</xdr:rowOff>
    </xdr:from>
    <xdr:ext cx="4219575" cy="1352550"/>
    <xdr:pic>
      <xdr:nvPicPr>
        <xdr:cNvPr id="4" name="image5.png">
          <a:extLst>
            <a:ext uri="{FF2B5EF4-FFF2-40B4-BE49-F238E27FC236}">
              <a16:creationId xmlns:a16="http://schemas.microsoft.com/office/drawing/2014/main" id="{F1A3039B-B8A3-42DC-B0C1-82E005640F6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28950" y="4791075"/>
          <a:ext cx="4219575" cy="1352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82551</xdr:colOff>
      <xdr:row>1</xdr:row>
      <xdr:rowOff>196850</xdr:rowOff>
    </xdr:from>
    <xdr:to>
      <xdr:col>1</xdr:col>
      <xdr:colOff>292101</xdr:colOff>
      <xdr:row>3</xdr:row>
      <xdr:rowOff>139827</xdr:rowOff>
    </xdr:to>
    <xdr:pic>
      <xdr:nvPicPr>
        <xdr:cNvPr id="6" name="Imagem 5" descr="IFRN libera resultado dos seus Vestibulares 2017/2 via Enem">
          <a:extLst>
            <a:ext uri="{FF2B5EF4-FFF2-40B4-BE49-F238E27FC236}">
              <a16:creationId xmlns:a16="http://schemas.microsoft.com/office/drawing/2014/main" id="{311C8F26-4B15-4795-A96A-D0B83CCF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1" y="403225"/>
          <a:ext cx="669925" cy="355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3</xdr:row>
      <xdr:rowOff>161925</xdr:rowOff>
    </xdr:from>
    <xdr:ext cx="5238750" cy="3810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09F390C-1FE5-4B06-BE54-48D4E44D8923}"/>
            </a:ext>
          </a:extLst>
        </xdr:cNvPr>
        <xdr:cNvSpPr/>
      </xdr:nvSpPr>
      <xdr:spPr>
        <a:xfrm>
          <a:off x="742950" y="762000"/>
          <a:ext cx="5238750" cy="38100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0</xdr:col>
      <xdr:colOff>85725</xdr:colOff>
      <xdr:row>19</xdr:row>
      <xdr:rowOff>9525</xdr:rowOff>
    </xdr:from>
    <xdr:ext cx="3133725" cy="400050"/>
    <xdr:pic>
      <xdr:nvPicPr>
        <xdr:cNvPr id="3" name="image4.png">
          <a:extLst>
            <a:ext uri="{FF2B5EF4-FFF2-40B4-BE49-F238E27FC236}">
              <a16:creationId xmlns:a16="http://schemas.microsoft.com/office/drawing/2014/main" id="{C1646FD7-2375-4D0E-B0F3-7B5A0B9935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552950"/>
          <a:ext cx="3133725" cy="400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2571750</xdr:colOff>
      <xdr:row>22</xdr:row>
      <xdr:rowOff>76200</xdr:rowOff>
    </xdr:from>
    <xdr:ext cx="4219575" cy="1352550"/>
    <xdr:pic>
      <xdr:nvPicPr>
        <xdr:cNvPr id="4" name="image5.png">
          <a:extLst>
            <a:ext uri="{FF2B5EF4-FFF2-40B4-BE49-F238E27FC236}">
              <a16:creationId xmlns:a16="http://schemas.microsoft.com/office/drawing/2014/main" id="{56DBC1DB-0C3B-4E2F-B876-20EED26AC6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28950" y="5343525"/>
          <a:ext cx="4219575" cy="1352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66676</xdr:colOff>
      <xdr:row>2</xdr:row>
      <xdr:rowOff>38100</xdr:rowOff>
    </xdr:from>
    <xdr:to>
      <xdr:col>1</xdr:col>
      <xdr:colOff>276226</xdr:colOff>
      <xdr:row>3</xdr:row>
      <xdr:rowOff>187452</xdr:rowOff>
    </xdr:to>
    <xdr:pic>
      <xdr:nvPicPr>
        <xdr:cNvPr id="5" name="Imagem 4" descr="IFRN libera resultado dos seus Vestibulares 2017/2 via Enem">
          <a:extLst>
            <a:ext uri="{FF2B5EF4-FFF2-40B4-BE49-F238E27FC236}">
              <a16:creationId xmlns:a16="http://schemas.microsoft.com/office/drawing/2014/main" id="{DF6BA15C-5746-4A9D-A4D1-B22A5603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438150"/>
          <a:ext cx="666750" cy="349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rlin\reitoria$\Users\1177426\AppData\Local\Temp\Rar$DIa0.719\Cobertura%20-%20Pau%20dos%20Ferr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BDI"/>
      <sheetName val="Orçamento"/>
      <sheetName val="Cronograma"/>
      <sheetName val="Comp"/>
      <sheetName val="Planilha1"/>
      <sheetName val="Encargos Sociais"/>
      <sheetName val="Analitica"/>
      <sheetName val="Composição"/>
      <sheetName val="In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roduto.mercadolivre.com.br/MLB-860204059-elo-fusivel-distribuico-classe-15kv-40k-500mm-10-pecas-_JM" TargetMode="External"/><Relationship Id="rId2" Type="http://schemas.openxmlformats.org/officeDocument/2006/relationships/hyperlink" Target="https://www.leroymerlin.com.br/elo-fusivel-distribuicao-ate-36,2kv-40k-500mm-5-pecas_1570433151" TargetMode="External"/><Relationship Id="rId1" Type="http://schemas.openxmlformats.org/officeDocument/2006/relationships/hyperlink" Target="https://eloja.eletrotecnicaveracruz.com.br/produtos/elo-fusivel-distribuicao-15kv-40k-500mm-10-pecas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CBA72-6C56-4BA1-ACC2-233B07208359}">
  <sheetPr>
    <pageSetUpPr fitToPage="1"/>
  </sheetPr>
  <dimension ref="A1:O109"/>
  <sheetViews>
    <sheetView showOutlineSymbols="0" showWhiteSpace="0" view="pageBreakPreview" topLeftCell="A70" zoomScale="80" zoomScaleNormal="85" zoomScaleSheetLayoutView="80" workbookViewId="0">
      <selection activeCell="B5" sqref="B5:G6"/>
    </sheetView>
  </sheetViews>
  <sheetFormatPr defaultRowHeight="14.25"/>
  <cols>
    <col min="1" max="1" width="16.25" customWidth="1"/>
    <col min="2" max="2" width="11.25" style="276" customWidth="1"/>
    <col min="3" max="3" width="50" customWidth="1"/>
    <col min="4" max="4" width="7.75" customWidth="1"/>
    <col min="5" max="5" width="10.375" customWidth="1"/>
    <col min="6" max="6" width="17.5" customWidth="1"/>
    <col min="7" max="7" width="15.75" customWidth="1"/>
    <col min="8" max="8" width="17.625" customWidth="1"/>
    <col min="9" max="9" width="10.375" bestFit="1" customWidth="1"/>
    <col min="11" max="11" width="13.75" bestFit="1" customWidth="1"/>
    <col min="13" max="13" width="10.75" bestFit="1" customWidth="1"/>
    <col min="14" max="14" width="9" customWidth="1"/>
  </cols>
  <sheetData>
    <row r="1" spans="1:15" ht="15.75" customHeight="1">
      <c r="A1" s="447" t="s">
        <v>81</v>
      </c>
      <c r="B1" s="447"/>
      <c r="C1" s="447"/>
      <c r="D1" s="447"/>
      <c r="E1" s="447"/>
      <c r="F1" s="447"/>
      <c r="G1" s="447"/>
      <c r="H1" s="447"/>
      <c r="I1" s="447"/>
      <c r="J1" s="5"/>
      <c r="K1" s="6"/>
      <c r="L1" s="6"/>
      <c r="M1" s="6"/>
      <c r="N1" s="6"/>
      <c r="O1" s="6"/>
    </row>
    <row r="2" spans="1:15" ht="15.75" customHeight="1">
      <c r="A2" s="448" t="s">
        <v>82</v>
      </c>
      <c r="B2" s="448"/>
      <c r="C2" s="448"/>
      <c r="D2" s="448"/>
      <c r="E2" s="448"/>
      <c r="F2" s="448"/>
      <c r="G2" s="448"/>
      <c r="H2" s="448"/>
      <c r="I2" s="448"/>
      <c r="J2" s="5"/>
      <c r="K2" s="5"/>
      <c r="L2" s="5"/>
      <c r="M2" s="5"/>
      <c r="N2" s="5"/>
      <c r="O2" s="5"/>
    </row>
    <row r="3" spans="1:15" ht="15.75" customHeight="1">
      <c r="A3" s="448" t="s">
        <v>19</v>
      </c>
      <c r="B3" s="448"/>
      <c r="C3" s="448"/>
      <c r="D3" s="448"/>
      <c r="E3" s="448"/>
      <c r="F3" s="448"/>
      <c r="G3" s="448"/>
      <c r="H3" s="448"/>
      <c r="I3" s="448"/>
      <c r="J3" s="5"/>
      <c r="K3" s="5"/>
      <c r="L3" s="5"/>
      <c r="M3" s="5"/>
      <c r="N3" s="5"/>
      <c r="O3" s="5"/>
    </row>
    <row r="4" spans="1:15" ht="30" customHeight="1">
      <c r="A4" s="449" t="s">
        <v>83</v>
      </c>
      <c r="B4" s="449"/>
      <c r="C4" s="449"/>
      <c r="D4" s="449"/>
      <c r="E4" s="449"/>
      <c r="F4" s="449"/>
      <c r="G4" s="449"/>
      <c r="H4" s="449"/>
      <c r="I4" s="449"/>
      <c r="K4" s="5"/>
      <c r="L4" s="5"/>
      <c r="M4" s="5"/>
      <c r="N4" s="5"/>
      <c r="O4" s="5"/>
    </row>
    <row r="5" spans="1:15" ht="15.75" customHeight="1">
      <c r="A5" s="437" t="s">
        <v>84</v>
      </c>
      <c r="B5" s="452" t="s">
        <v>328</v>
      </c>
      <c r="C5" s="452"/>
      <c r="D5" s="452"/>
      <c r="E5" s="452"/>
      <c r="F5" s="452"/>
      <c r="G5" s="452"/>
      <c r="H5" s="431" t="s">
        <v>20</v>
      </c>
      <c r="I5" s="432">
        <v>45072</v>
      </c>
      <c r="J5" s="5"/>
      <c r="K5" s="5"/>
      <c r="L5" s="5"/>
      <c r="M5" s="5"/>
      <c r="N5" s="5"/>
      <c r="O5" s="5"/>
    </row>
    <row r="6" spans="1:15" ht="15.75" customHeight="1">
      <c r="A6" s="438"/>
      <c r="B6" s="452"/>
      <c r="C6" s="452"/>
      <c r="D6" s="452"/>
      <c r="E6" s="452"/>
      <c r="F6" s="452"/>
      <c r="G6" s="452"/>
      <c r="H6" s="450" t="s">
        <v>470</v>
      </c>
      <c r="I6" s="451"/>
      <c r="L6" s="5"/>
      <c r="M6" s="5"/>
      <c r="N6" s="5"/>
      <c r="O6" s="5"/>
    </row>
    <row r="7" spans="1:15" ht="15.75" customHeight="1">
      <c r="A7" s="435" t="s">
        <v>85</v>
      </c>
      <c r="B7" s="453" t="s">
        <v>95</v>
      </c>
      <c r="C7" s="453"/>
      <c r="D7" s="453"/>
      <c r="E7" s="453"/>
      <c r="F7" s="453"/>
      <c r="G7" s="453"/>
      <c r="H7" s="380" t="s">
        <v>86</v>
      </c>
      <c r="I7" s="195">
        <v>0.22470000000000001</v>
      </c>
      <c r="L7" s="5"/>
      <c r="M7" s="5"/>
      <c r="N7" s="5"/>
      <c r="O7" s="5"/>
    </row>
    <row r="8" spans="1:15" ht="30" customHeight="1">
      <c r="A8" s="434" t="s">
        <v>553</v>
      </c>
      <c r="B8" s="433" t="s">
        <v>539</v>
      </c>
      <c r="C8" s="573" t="s">
        <v>552</v>
      </c>
      <c r="D8" s="474" t="s">
        <v>554</v>
      </c>
      <c r="E8" s="474"/>
      <c r="F8" s="475"/>
      <c r="G8" s="574"/>
      <c r="H8" s="380" t="s">
        <v>88</v>
      </c>
      <c r="I8" s="10">
        <v>0.1089</v>
      </c>
      <c r="L8" s="5"/>
      <c r="M8" s="5"/>
      <c r="N8" s="5"/>
      <c r="O8" s="5"/>
    </row>
    <row r="9" spans="1:15" ht="15.75" customHeight="1">
      <c r="A9" s="445" t="s">
        <v>69</v>
      </c>
      <c r="B9" s="445"/>
      <c r="C9" s="445"/>
      <c r="D9" s="445"/>
      <c r="E9" s="445"/>
      <c r="F9" s="445"/>
      <c r="G9" s="445"/>
      <c r="H9" s="445"/>
      <c r="I9" s="445"/>
      <c r="J9" s="5"/>
      <c r="K9" s="5"/>
      <c r="L9" s="5"/>
      <c r="M9" s="5"/>
      <c r="N9" s="5"/>
      <c r="O9" s="5"/>
    </row>
    <row r="10" spans="1:15" ht="15.75">
      <c r="A10" s="439" t="s">
        <v>89</v>
      </c>
      <c r="B10" s="441" t="s">
        <v>2</v>
      </c>
      <c r="C10" s="439" t="s">
        <v>90</v>
      </c>
      <c r="D10" s="439" t="s">
        <v>17</v>
      </c>
      <c r="E10" s="444" t="s">
        <v>91</v>
      </c>
      <c r="F10" s="436"/>
      <c r="G10" s="436"/>
      <c r="H10" s="436"/>
      <c r="I10" s="436"/>
      <c r="J10" s="5"/>
      <c r="K10" s="5"/>
      <c r="L10" s="5"/>
      <c r="M10" s="5"/>
      <c r="N10" s="5"/>
      <c r="O10" s="5"/>
    </row>
    <row r="11" spans="1:15" ht="47.25">
      <c r="A11" s="440"/>
      <c r="B11" s="442"/>
      <c r="C11" s="443"/>
      <c r="D11" s="440"/>
      <c r="E11" s="440"/>
      <c r="F11" s="292" t="s">
        <v>322</v>
      </c>
      <c r="G11" s="292" t="s">
        <v>318</v>
      </c>
      <c r="H11" s="340" t="s">
        <v>460</v>
      </c>
      <c r="I11" s="340" t="s">
        <v>472</v>
      </c>
      <c r="J11" s="5"/>
      <c r="K11" s="263"/>
      <c r="L11" s="5"/>
      <c r="M11" s="5"/>
      <c r="N11" s="5"/>
      <c r="O11" s="5"/>
    </row>
    <row r="12" spans="1:15" ht="15.75">
      <c r="A12" s="232">
        <v>1</v>
      </c>
      <c r="B12" s="233"/>
      <c r="C12" s="234" t="s">
        <v>0</v>
      </c>
      <c r="D12" s="232"/>
      <c r="E12" s="235"/>
      <c r="F12" s="235"/>
      <c r="G12" s="235"/>
      <c r="H12" s="362">
        <f>SUM(H13:H13)</f>
        <v>758.2</v>
      </c>
      <c r="I12" s="358">
        <f>H12/$H$75</f>
        <v>1.135862010053892E-3</v>
      </c>
      <c r="J12" s="5"/>
      <c r="K12" s="5"/>
      <c r="L12" s="5"/>
      <c r="M12" s="5"/>
      <c r="N12" s="5"/>
      <c r="O12" s="5"/>
    </row>
    <row r="13" spans="1:15" ht="15.75">
      <c r="A13" s="236" t="s">
        <v>307</v>
      </c>
      <c r="B13" s="237" t="s">
        <v>305</v>
      </c>
      <c r="C13" s="242" t="s">
        <v>304</v>
      </c>
      <c r="D13" s="239" t="s">
        <v>94</v>
      </c>
      <c r="E13" s="240">
        <f>'MEMÓRIA CALC 2'!I11</f>
        <v>20</v>
      </c>
      <c r="F13" s="293">
        <v>30.96</v>
      </c>
      <c r="G13" s="241">
        <f>TRUNC(F13*(1+$I$7),2)</f>
        <v>37.909999999999997</v>
      </c>
      <c r="H13" s="363">
        <f>TRUNC(E13*G13,2)</f>
        <v>758.2</v>
      </c>
      <c r="I13" s="358">
        <f t="shared" ref="I13:I75" si="0">H13/$H$75</f>
        <v>1.135862010053892E-3</v>
      </c>
      <c r="J13" s="5"/>
      <c r="K13" s="5"/>
      <c r="L13" s="5"/>
      <c r="M13" s="5"/>
      <c r="N13" s="5"/>
      <c r="O13" s="5"/>
    </row>
    <row r="14" spans="1:15" ht="15.75">
      <c r="A14" s="232">
        <v>2</v>
      </c>
      <c r="B14" s="243"/>
      <c r="C14" s="244" t="s">
        <v>93</v>
      </c>
      <c r="D14" s="232"/>
      <c r="E14" s="235"/>
      <c r="F14" s="294"/>
      <c r="G14" s="235"/>
      <c r="H14" s="362">
        <f>SUM(H15:H25)</f>
        <v>80032.09</v>
      </c>
      <c r="I14" s="358">
        <f t="shared" si="0"/>
        <v>0.11989634742312581</v>
      </c>
      <c r="J14" s="5"/>
      <c r="K14" s="5"/>
      <c r="L14" s="5"/>
      <c r="M14" s="5"/>
      <c r="N14" s="5"/>
      <c r="O14" s="5"/>
    </row>
    <row r="15" spans="1:15" s="2" customFormat="1" ht="15.75">
      <c r="A15" s="245" t="s">
        <v>10</v>
      </c>
      <c r="B15" s="245" t="s">
        <v>18</v>
      </c>
      <c r="C15" s="271" t="s">
        <v>96</v>
      </c>
      <c r="D15" s="247" t="s">
        <v>71</v>
      </c>
      <c r="E15" s="240">
        <v>2</v>
      </c>
      <c r="F15" s="293">
        <f>'COMPOSIÇÕES (2)'!F26</f>
        <v>254.59</v>
      </c>
      <c r="G15" s="241">
        <f t="shared" ref="G15:G25" si="1">TRUNC(F15*(1+$I$7),2)</f>
        <v>311.79000000000002</v>
      </c>
      <c r="H15" s="363">
        <f t="shared" ref="H15:H25" si="2">TRUNC(E15*G15,2)</f>
        <v>623.58000000000004</v>
      </c>
      <c r="I15" s="358">
        <f t="shared" si="0"/>
        <v>9.3418732818439205E-4</v>
      </c>
    </row>
    <row r="16" spans="1:15" s="2" customFormat="1" ht="47.25">
      <c r="A16" s="245" t="s">
        <v>73</v>
      </c>
      <c r="B16" s="236" t="s">
        <v>16</v>
      </c>
      <c r="C16" s="238" t="s">
        <v>550</v>
      </c>
      <c r="D16" s="249" t="s">
        <v>30</v>
      </c>
      <c r="E16" s="248">
        <v>1</v>
      </c>
      <c r="F16" s="293">
        <f>'COMPOSIÇÕES (2)'!I23</f>
        <v>46582.200000000004</v>
      </c>
      <c r="G16" s="241">
        <f t="shared" si="1"/>
        <v>57049.22</v>
      </c>
      <c r="H16" s="363">
        <f t="shared" si="2"/>
        <v>57049.22</v>
      </c>
      <c r="I16" s="358">
        <f t="shared" si="0"/>
        <v>8.5465631365347794E-2</v>
      </c>
    </row>
    <row r="17" spans="1:15" s="2" customFormat="1" ht="31.5">
      <c r="A17" s="245" t="s">
        <v>11</v>
      </c>
      <c r="B17" s="236" t="s">
        <v>299</v>
      </c>
      <c r="C17" s="379" t="s">
        <v>298</v>
      </c>
      <c r="D17" s="249" t="s">
        <v>3</v>
      </c>
      <c r="E17" s="240">
        <f>'MEMÓRIA CALC 2'!I15</f>
        <v>4.5</v>
      </c>
      <c r="F17" s="293">
        <v>368.35</v>
      </c>
      <c r="G17" s="241">
        <f t="shared" si="1"/>
        <v>451.11</v>
      </c>
      <c r="H17" s="363">
        <f t="shared" si="2"/>
        <v>2029.99</v>
      </c>
      <c r="I17" s="358">
        <f t="shared" si="0"/>
        <v>3.0411349535601428E-3</v>
      </c>
    </row>
    <row r="18" spans="1:15" s="2" customFormat="1" ht="47.25">
      <c r="A18" s="245" t="s">
        <v>70</v>
      </c>
      <c r="B18" s="236">
        <v>98525</v>
      </c>
      <c r="C18" s="283" t="s">
        <v>97</v>
      </c>
      <c r="D18" s="338" t="s">
        <v>3</v>
      </c>
      <c r="E18" s="339">
        <f>'MEMÓRIA CALC 2'!I16</f>
        <v>500</v>
      </c>
      <c r="F18" s="299">
        <v>0.38</v>
      </c>
      <c r="G18" s="241">
        <f t="shared" si="1"/>
        <v>0.46</v>
      </c>
      <c r="H18" s="363">
        <f t="shared" si="2"/>
        <v>230</v>
      </c>
      <c r="I18" s="358">
        <f t="shared" si="0"/>
        <v>3.4456378569295063E-4</v>
      </c>
    </row>
    <row r="19" spans="1:15" s="2" customFormat="1" ht="78.75">
      <c r="A19" s="245" t="s">
        <v>74</v>
      </c>
      <c r="B19" s="236" t="s">
        <v>301</v>
      </c>
      <c r="C19" s="238" t="s">
        <v>300</v>
      </c>
      <c r="D19" s="237" t="s">
        <v>4</v>
      </c>
      <c r="E19" s="339">
        <f>'MEMÓRIA CALC 2'!I17</f>
        <v>60</v>
      </c>
      <c r="F19" s="278">
        <v>8.86</v>
      </c>
      <c r="G19" s="241">
        <f t="shared" si="1"/>
        <v>10.85</v>
      </c>
      <c r="H19" s="363">
        <f t="shared" si="2"/>
        <v>651</v>
      </c>
      <c r="I19" s="358">
        <f t="shared" si="0"/>
        <v>9.7526532385265585E-4</v>
      </c>
    </row>
    <row r="20" spans="1:15" s="2" customFormat="1" ht="31.5">
      <c r="A20" s="245" t="s">
        <v>75</v>
      </c>
      <c r="B20" s="236" t="s">
        <v>489</v>
      </c>
      <c r="C20" s="238" t="s">
        <v>488</v>
      </c>
      <c r="D20" s="237" t="s">
        <v>127</v>
      </c>
      <c r="E20" s="339">
        <v>7</v>
      </c>
      <c r="F20" s="278">
        <v>1101.3</v>
      </c>
      <c r="G20" s="241">
        <f t="shared" si="1"/>
        <v>1348.76</v>
      </c>
      <c r="H20" s="363">
        <f t="shared" si="2"/>
        <v>9441.32</v>
      </c>
      <c r="I20" s="358">
        <f t="shared" si="0"/>
        <v>1.4144073744080733E-2</v>
      </c>
    </row>
    <row r="21" spans="1:15" s="2" customFormat="1" ht="47.25">
      <c r="A21" s="245" t="s">
        <v>76</v>
      </c>
      <c r="B21" s="236" t="s">
        <v>359</v>
      </c>
      <c r="C21" s="238" t="s">
        <v>360</v>
      </c>
      <c r="D21" s="268" t="s">
        <v>3</v>
      </c>
      <c r="E21" s="339">
        <f>'MEMÓRIA CALC 2'!I19</f>
        <v>10.5</v>
      </c>
      <c r="F21" s="278">
        <v>13.81</v>
      </c>
      <c r="G21" s="241">
        <f t="shared" si="1"/>
        <v>16.91</v>
      </c>
      <c r="H21" s="363">
        <f t="shared" si="2"/>
        <v>177.55</v>
      </c>
      <c r="I21" s="358">
        <f t="shared" si="0"/>
        <v>2.6598826152079736E-4</v>
      </c>
    </row>
    <row r="22" spans="1:15" s="2" customFormat="1" ht="47.25">
      <c r="A22" s="245" t="s">
        <v>317</v>
      </c>
      <c r="B22" s="236" t="s">
        <v>362</v>
      </c>
      <c r="C22" s="238" t="s">
        <v>361</v>
      </c>
      <c r="D22" s="268" t="s">
        <v>3</v>
      </c>
      <c r="E22" s="339">
        <f>'MEMÓRIA CALC 2'!I20</f>
        <v>22</v>
      </c>
      <c r="F22" s="278">
        <v>11.5</v>
      </c>
      <c r="G22" s="241">
        <f t="shared" si="1"/>
        <v>14.08</v>
      </c>
      <c r="H22" s="363">
        <f t="shared" si="2"/>
        <v>309.76</v>
      </c>
      <c r="I22" s="358">
        <f t="shared" si="0"/>
        <v>4.6405251415760165E-4</v>
      </c>
    </row>
    <row r="23" spans="1:15" s="2" customFormat="1" ht="31.5">
      <c r="A23" s="387" t="s">
        <v>327</v>
      </c>
      <c r="B23" s="365" t="s">
        <v>364</v>
      </c>
      <c r="C23" s="283" t="s">
        <v>363</v>
      </c>
      <c r="D23" s="388" t="s">
        <v>4</v>
      </c>
      <c r="E23" s="339">
        <f>'MEMÓRIA CALC 2'!I21</f>
        <v>15.495600000000003</v>
      </c>
      <c r="F23" s="389">
        <v>252.94</v>
      </c>
      <c r="G23" s="277">
        <f t="shared" si="1"/>
        <v>309.77</v>
      </c>
      <c r="H23" s="391">
        <f t="shared" si="2"/>
        <v>4800.07</v>
      </c>
      <c r="I23" s="358">
        <f t="shared" si="0"/>
        <v>7.1910012643093971E-3</v>
      </c>
    </row>
    <row r="24" spans="1:15" s="2" customFormat="1" ht="15.75">
      <c r="A24" s="370" t="s">
        <v>494</v>
      </c>
      <c r="B24" s="370" t="s">
        <v>496</v>
      </c>
      <c r="C24" s="283" t="s">
        <v>490</v>
      </c>
      <c r="D24" s="268" t="s">
        <v>491</v>
      </c>
      <c r="E24" s="392">
        <f>'MEMÓRIA CALC 2'!I22</f>
        <v>5400</v>
      </c>
      <c r="F24" s="278">
        <v>0.44</v>
      </c>
      <c r="G24" s="278">
        <f t="shared" si="1"/>
        <v>0.53</v>
      </c>
      <c r="H24" s="363">
        <f t="shared" si="2"/>
        <v>2862</v>
      </c>
      <c r="I24" s="358">
        <f t="shared" si="0"/>
        <v>4.287571976753151E-3</v>
      </c>
    </row>
    <row r="25" spans="1:15" s="2" customFormat="1" ht="31.5">
      <c r="A25" s="370" t="s">
        <v>495</v>
      </c>
      <c r="B25" s="370" t="s">
        <v>497</v>
      </c>
      <c r="C25" s="238" t="s">
        <v>492</v>
      </c>
      <c r="D25" s="268" t="s">
        <v>493</v>
      </c>
      <c r="E25" s="392">
        <f>'MEMÓRIA CALC 2'!I23</f>
        <v>360</v>
      </c>
      <c r="F25" s="278">
        <v>4.22</v>
      </c>
      <c r="G25" s="278">
        <f t="shared" si="1"/>
        <v>5.16</v>
      </c>
      <c r="H25" s="363">
        <f t="shared" si="2"/>
        <v>1857.6</v>
      </c>
      <c r="I25" s="358">
        <f t="shared" si="0"/>
        <v>2.7828769056661958E-3</v>
      </c>
    </row>
    <row r="26" spans="1:15" ht="15.75">
      <c r="A26" s="232">
        <v>3</v>
      </c>
      <c r="B26" s="250"/>
      <c r="C26" s="244" t="s">
        <v>312</v>
      </c>
      <c r="D26" s="373"/>
      <c r="E26" s="362"/>
      <c r="F26" s="337"/>
      <c r="G26" s="260"/>
      <c r="H26" s="362">
        <f>SUM(H27:H29)</f>
        <v>81255.39</v>
      </c>
      <c r="I26" s="358">
        <f t="shared" si="0"/>
        <v>0.1217289773319875</v>
      </c>
      <c r="J26" s="5"/>
      <c r="K26" s="5"/>
      <c r="L26" s="5"/>
      <c r="M26" s="5"/>
      <c r="N26" s="5"/>
      <c r="O26" s="5"/>
    </row>
    <row r="27" spans="1:15" s="2" customFormat="1" ht="31.5">
      <c r="A27" s="245" t="s">
        <v>115</v>
      </c>
      <c r="B27" s="245">
        <v>93358</v>
      </c>
      <c r="C27" s="246" t="s">
        <v>98</v>
      </c>
      <c r="D27" s="247" t="s">
        <v>4</v>
      </c>
      <c r="E27" s="375">
        <f>'MEMÓRIA CALC 2'!I25</f>
        <v>525.97840000000008</v>
      </c>
      <c r="F27" s="295">
        <v>77.180000000000007</v>
      </c>
      <c r="G27" s="241">
        <f>TRUNC(F27*(1+$I$7),2)</f>
        <v>94.52</v>
      </c>
      <c r="H27" s="363">
        <f>TRUNC(E27*G27,2)</f>
        <v>49715.47</v>
      </c>
      <c r="I27" s="358">
        <f t="shared" si="0"/>
        <v>7.447891543784485E-2</v>
      </c>
    </row>
    <row r="28" spans="1:15" s="2" customFormat="1" ht="15.75">
      <c r="A28" s="245" t="s">
        <v>116</v>
      </c>
      <c r="B28" s="253">
        <v>96995</v>
      </c>
      <c r="C28" s="246" t="s">
        <v>99</v>
      </c>
      <c r="D28" s="247" t="s">
        <v>4</v>
      </c>
      <c r="E28" s="252">
        <f>'MEMÓRIA CALC 2'!I26</f>
        <v>525.97840000000008</v>
      </c>
      <c r="F28" s="295">
        <v>46.79</v>
      </c>
      <c r="G28" s="241">
        <f>TRUNC(F28*(1+$I$7),2)</f>
        <v>57.3</v>
      </c>
      <c r="H28" s="363">
        <f>TRUNC(E28*G28,2)</f>
        <v>30138.560000000001</v>
      </c>
      <c r="I28" s="358">
        <f t="shared" si="0"/>
        <v>4.5150679691017978E-2</v>
      </c>
    </row>
    <row r="29" spans="1:15" s="2" customFormat="1" ht="31.5">
      <c r="A29" s="245" t="s">
        <v>117</v>
      </c>
      <c r="B29" s="245">
        <v>94342</v>
      </c>
      <c r="C29" s="271" t="s">
        <v>100</v>
      </c>
      <c r="D29" s="254" t="s">
        <v>4</v>
      </c>
      <c r="E29" s="252">
        <f>'MEMÓRIA CALC 2'!I27</f>
        <v>12</v>
      </c>
      <c r="F29" s="295">
        <v>95.36</v>
      </c>
      <c r="G29" s="241">
        <f>TRUNC(F29*(1+$I$7),2)</f>
        <v>116.78</v>
      </c>
      <c r="H29" s="363">
        <f>TRUNC(E29*G29,2)</f>
        <v>1401.36</v>
      </c>
      <c r="I29" s="358">
        <f t="shared" si="0"/>
        <v>2.0993822031246663E-3</v>
      </c>
    </row>
    <row r="30" spans="1:15" ht="15.75">
      <c r="A30" s="232">
        <v>4</v>
      </c>
      <c r="B30" s="250"/>
      <c r="C30" s="251" t="s">
        <v>313</v>
      </c>
      <c r="D30" s="232"/>
      <c r="E30" s="235"/>
      <c r="F30" s="294"/>
      <c r="G30" s="260"/>
      <c r="H30" s="362">
        <f>SUM(H31:H32)</f>
        <v>3600.5699999999997</v>
      </c>
      <c r="I30" s="358">
        <f t="shared" si="0"/>
        <v>5.3940262167498573E-3</v>
      </c>
      <c r="J30" s="5"/>
      <c r="K30" s="5"/>
      <c r="L30" s="5"/>
      <c r="M30" s="5"/>
      <c r="N30" s="5"/>
      <c r="O30" s="5"/>
    </row>
    <row r="31" spans="1:15" s="2" customFormat="1" ht="65.25" customHeight="1">
      <c r="A31" s="245" t="s">
        <v>118</v>
      </c>
      <c r="B31" s="245" t="s">
        <v>372</v>
      </c>
      <c r="C31" s="271" t="s">
        <v>371</v>
      </c>
      <c r="D31" s="247" t="s">
        <v>4</v>
      </c>
      <c r="E31" s="252">
        <f>'MEMÓRIA CALC 2'!I29</f>
        <v>2.5</v>
      </c>
      <c r="F31" s="295">
        <v>626.27</v>
      </c>
      <c r="G31" s="241">
        <f>TRUNC(F31*(1+$I$7),2)</f>
        <v>766.99</v>
      </c>
      <c r="H31" s="363">
        <f>TRUNC(E31*G31,2)</f>
        <v>1917.47</v>
      </c>
      <c r="I31" s="358">
        <f t="shared" si="0"/>
        <v>2.8725683571854872E-3</v>
      </c>
    </row>
    <row r="32" spans="1:15" s="2" customFormat="1" ht="63">
      <c r="A32" s="245" t="s">
        <v>309</v>
      </c>
      <c r="B32" s="236" t="s">
        <v>303</v>
      </c>
      <c r="C32" s="271" t="s">
        <v>302</v>
      </c>
      <c r="D32" s="249" t="s">
        <v>4</v>
      </c>
      <c r="E32" s="252">
        <f>'MEMÓRIA CALC 2'!I30</f>
        <v>2.5</v>
      </c>
      <c r="F32" s="295">
        <v>549.72</v>
      </c>
      <c r="G32" s="241">
        <f>TRUNC(F32*(1+$I$7),2)</f>
        <v>673.24</v>
      </c>
      <c r="H32" s="363">
        <f>TRUNC(E32*G32,2)</f>
        <v>1683.1</v>
      </c>
      <c r="I32" s="358">
        <f t="shared" si="0"/>
        <v>2.5214578595643702E-3</v>
      </c>
    </row>
    <row r="33" spans="1:15" ht="15.75">
      <c r="A33" s="232">
        <v>5</v>
      </c>
      <c r="B33" s="257"/>
      <c r="C33" s="255" t="s">
        <v>5</v>
      </c>
      <c r="D33" s="256"/>
      <c r="E33" s="256"/>
      <c r="F33" s="296"/>
      <c r="G33" s="260"/>
      <c r="H33" s="362">
        <f>SUM(H34:H35)</f>
        <v>1686.95</v>
      </c>
      <c r="I33" s="358">
        <f t="shared" si="0"/>
        <v>2.5272255577161872E-3</v>
      </c>
      <c r="J33" s="7"/>
      <c r="K33" s="7"/>
      <c r="L33" s="7"/>
      <c r="M33" s="7"/>
      <c r="N33" s="7"/>
      <c r="O33" s="7"/>
    </row>
    <row r="34" spans="1:15" s="2" customFormat="1" ht="47.25">
      <c r="A34" s="365" t="s">
        <v>119</v>
      </c>
      <c r="B34" s="366" t="s">
        <v>311</v>
      </c>
      <c r="C34" s="283" t="s">
        <v>310</v>
      </c>
      <c r="D34" s="338" t="s">
        <v>3</v>
      </c>
      <c r="E34" s="367">
        <f>'MEMÓRIA CALC 2'!I32</f>
        <v>25</v>
      </c>
      <c r="F34" s="299">
        <v>37.26</v>
      </c>
      <c r="G34" s="241">
        <f>TRUNC(F34*(1+$I$7),2)</f>
        <v>45.63</v>
      </c>
      <c r="H34" s="363">
        <f>TRUNC(E34*G34,2)</f>
        <v>1140.75</v>
      </c>
      <c r="I34" s="358">
        <f t="shared" si="0"/>
        <v>1.7089614718662322E-3</v>
      </c>
    </row>
    <row r="35" spans="1:15" s="2" customFormat="1" ht="31.5">
      <c r="A35" s="370" t="s">
        <v>464</v>
      </c>
      <c r="B35" s="258" t="s">
        <v>466</v>
      </c>
      <c r="C35" s="238" t="s">
        <v>465</v>
      </c>
      <c r="D35" s="237" t="s">
        <v>8</v>
      </c>
      <c r="E35" s="371">
        <v>20</v>
      </c>
      <c r="F35" s="278">
        <v>22.3</v>
      </c>
      <c r="G35" s="241">
        <f>TRUNC(F35*(1+$I$7),2)</f>
        <v>27.31</v>
      </c>
      <c r="H35" s="363">
        <f>TRUNC(E35*G35,2)</f>
        <v>546.20000000000005</v>
      </c>
      <c r="I35" s="358">
        <f t="shared" si="0"/>
        <v>8.1826408584995494E-4</v>
      </c>
    </row>
    <row r="36" spans="1:15" ht="15.75">
      <c r="A36" s="265">
        <v>6</v>
      </c>
      <c r="B36" s="265"/>
      <c r="C36" s="244" t="s">
        <v>6</v>
      </c>
      <c r="D36" s="368"/>
      <c r="E36" s="368"/>
      <c r="F36" s="369"/>
      <c r="G36" s="394"/>
      <c r="H36" s="395">
        <f>SUM(H37:H62)</f>
        <v>454169.30999999994</v>
      </c>
      <c r="I36" s="358">
        <f t="shared" si="0"/>
        <v>0.68039259477893577</v>
      </c>
      <c r="J36" s="7"/>
      <c r="K36" s="7"/>
      <c r="L36" s="7"/>
      <c r="M36" s="7"/>
      <c r="N36" s="7"/>
      <c r="O36" s="7"/>
    </row>
    <row r="37" spans="1:15" s="2" customFormat="1" ht="31.5">
      <c r="A37" s="245" t="s">
        <v>12</v>
      </c>
      <c r="B37" s="236" t="s">
        <v>398</v>
      </c>
      <c r="C37" s="238" t="s">
        <v>377</v>
      </c>
      <c r="D37" s="249" t="s">
        <v>148</v>
      </c>
      <c r="E37" s="393">
        <f>ORÇAMENTO!E37</f>
        <v>843.4</v>
      </c>
      <c r="F37" s="278">
        <v>115.16</v>
      </c>
      <c r="G37" s="278">
        <f t="shared" ref="G37:G62" si="3">TRUNC(F37*(1+$I$7),2)</f>
        <v>141.03</v>
      </c>
      <c r="H37" s="363">
        <f t="shared" ref="H37:H62" si="4">TRUNC(E37*G37,2)</f>
        <v>118944.7</v>
      </c>
      <c r="I37" s="358">
        <f t="shared" si="0"/>
        <v>0.17819146139179262</v>
      </c>
    </row>
    <row r="38" spans="1:15" s="2" customFormat="1" ht="31.5">
      <c r="A38" s="245" t="s">
        <v>13</v>
      </c>
      <c r="B38" s="236">
        <v>96985</v>
      </c>
      <c r="C38" s="238" t="s">
        <v>378</v>
      </c>
      <c r="D38" s="249" t="s">
        <v>379</v>
      </c>
      <c r="E38" s="393">
        <f>ORÇAMENTO!E38</f>
        <v>186</v>
      </c>
      <c r="F38" s="278">
        <v>77.349999999999994</v>
      </c>
      <c r="G38" s="278">
        <f t="shared" si="3"/>
        <v>94.73</v>
      </c>
      <c r="H38" s="363">
        <f t="shared" si="4"/>
        <v>17619.78</v>
      </c>
      <c r="I38" s="358">
        <f t="shared" si="0"/>
        <v>2.6396252608160597E-2</v>
      </c>
    </row>
    <row r="39" spans="1:15" s="2" customFormat="1" ht="31.5">
      <c r="A39" s="245" t="s">
        <v>14</v>
      </c>
      <c r="B39" s="236" t="s">
        <v>399</v>
      </c>
      <c r="C39" s="238" t="s">
        <v>380</v>
      </c>
      <c r="D39" s="249" t="s">
        <v>379</v>
      </c>
      <c r="E39" s="393">
        <f>ORÇAMENTO!E39</f>
        <v>174</v>
      </c>
      <c r="F39" s="278">
        <f>ORÇAMENTO!G39</f>
        <v>47.88</v>
      </c>
      <c r="G39" s="278">
        <f t="shared" si="3"/>
        <v>58.63</v>
      </c>
      <c r="H39" s="363">
        <f t="shared" si="4"/>
        <v>10201.620000000001</v>
      </c>
      <c r="I39" s="358">
        <f t="shared" si="0"/>
        <v>1.5283081771308344E-2</v>
      </c>
    </row>
    <row r="40" spans="1:15" s="2" customFormat="1" ht="31.5">
      <c r="A40" s="245" t="s">
        <v>15</v>
      </c>
      <c r="B40" s="236" t="s">
        <v>400</v>
      </c>
      <c r="C40" s="238" t="s">
        <v>381</v>
      </c>
      <c r="D40" s="249" t="s">
        <v>379</v>
      </c>
      <c r="E40" s="393">
        <f>ORÇAMENTO!E40</f>
        <v>100</v>
      </c>
      <c r="F40" s="278">
        <f>ORÇAMENTO!G40</f>
        <v>54.29</v>
      </c>
      <c r="G40" s="278">
        <f t="shared" si="3"/>
        <v>66.48</v>
      </c>
      <c r="H40" s="363">
        <f t="shared" si="4"/>
        <v>6648</v>
      </c>
      <c r="I40" s="358">
        <f t="shared" si="0"/>
        <v>9.9593915099423294E-3</v>
      </c>
    </row>
    <row r="41" spans="1:15" s="2" customFormat="1" ht="31.5">
      <c r="A41" s="245" t="s">
        <v>414</v>
      </c>
      <c r="B41" s="236" t="s">
        <v>401</v>
      </c>
      <c r="C41" s="238" t="s">
        <v>382</v>
      </c>
      <c r="D41" s="249" t="s">
        <v>383</v>
      </c>
      <c r="E41" s="393">
        <f>ORÇAMENTO!E41</f>
        <v>110</v>
      </c>
      <c r="F41" s="278">
        <v>94.6</v>
      </c>
      <c r="G41" s="278">
        <f t="shared" si="3"/>
        <v>115.85</v>
      </c>
      <c r="H41" s="363">
        <f t="shared" si="4"/>
        <v>12743.5</v>
      </c>
      <c r="I41" s="358">
        <f t="shared" si="0"/>
        <v>1.9091080882513548E-2</v>
      </c>
    </row>
    <row r="42" spans="1:15" s="2" customFormat="1" ht="63">
      <c r="A42" s="245" t="s">
        <v>415</v>
      </c>
      <c r="B42" s="236" t="s">
        <v>481</v>
      </c>
      <c r="C42" s="238" t="s">
        <v>482</v>
      </c>
      <c r="D42" s="249" t="s">
        <v>8</v>
      </c>
      <c r="E42" s="393">
        <f>ORÇAMENTO!E42</f>
        <v>240</v>
      </c>
      <c r="F42" s="278">
        <v>12.35</v>
      </c>
      <c r="G42" s="278">
        <f t="shared" si="3"/>
        <v>15.12</v>
      </c>
      <c r="H42" s="363">
        <f t="shared" si="4"/>
        <v>3628.8</v>
      </c>
      <c r="I42" s="358">
        <f t="shared" si="0"/>
        <v>5.4363176761851274E-3</v>
      </c>
    </row>
    <row r="43" spans="1:15" s="2" customFormat="1" ht="31.5">
      <c r="A43" s="245" t="s">
        <v>416</v>
      </c>
      <c r="B43" s="236" t="s">
        <v>402</v>
      </c>
      <c r="C43" s="238" t="s">
        <v>384</v>
      </c>
      <c r="D43" s="249" t="s">
        <v>383</v>
      </c>
      <c r="E43" s="393">
        <f>ORÇAMENTO!E43</f>
        <v>24</v>
      </c>
      <c r="F43" s="278">
        <v>348.23</v>
      </c>
      <c r="G43" s="278">
        <f t="shared" si="3"/>
        <v>426.47</v>
      </c>
      <c r="H43" s="363">
        <f t="shared" si="4"/>
        <v>10235.280000000001</v>
      </c>
      <c r="I43" s="358">
        <f t="shared" si="0"/>
        <v>1.53335079322928E-2</v>
      </c>
    </row>
    <row r="44" spans="1:15" s="2" customFormat="1" ht="31.5">
      <c r="A44" s="245" t="s">
        <v>417</v>
      </c>
      <c r="B44" s="236" t="s">
        <v>403</v>
      </c>
      <c r="C44" s="238" t="s">
        <v>385</v>
      </c>
      <c r="D44" s="249" t="s">
        <v>386</v>
      </c>
      <c r="E44" s="393">
        <f>ORÇAMENTO!E44</f>
        <v>56</v>
      </c>
      <c r="F44" s="278">
        <v>41</v>
      </c>
      <c r="G44" s="278">
        <f t="shared" si="3"/>
        <v>50.21</v>
      </c>
      <c r="H44" s="363">
        <f t="shared" si="4"/>
        <v>2811.76</v>
      </c>
      <c r="I44" s="358">
        <f t="shared" si="0"/>
        <v>4.212307261130482E-3</v>
      </c>
    </row>
    <row r="45" spans="1:15" s="2" customFormat="1" ht="31.5">
      <c r="A45" s="245" t="s">
        <v>418</v>
      </c>
      <c r="B45" s="236" t="s">
        <v>404</v>
      </c>
      <c r="C45" s="238" t="s">
        <v>387</v>
      </c>
      <c r="D45" s="249" t="s">
        <v>383</v>
      </c>
      <c r="E45" s="393">
        <f>ORÇAMENTO!E45</f>
        <v>176</v>
      </c>
      <c r="F45" s="278">
        <v>82.8</v>
      </c>
      <c r="G45" s="278">
        <f t="shared" si="3"/>
        <v>101.4</v>
      </c>
      <c r="H45" s="363">
        <f t="shared" si="4"/>
        <v>17846.400000000001</v>
      </c>
      <c r="I45" s="358">
        <f t="shared" si="0"/>
        <v>2.6735752804307282E-2</v>
      </c>
    </row>
    <row r="46" spans="1:15" s="2" customFormat="1" ht="31.5">
      <c r="A46" s="245" t="s">
        <v>419</v>
      </c>
      <c r="B46" s="236" t="s">
        <v>405</v>
      </c>
      <c r="C46" s="238" t="s">
        <v>388</v>
      </c>
      <c r="D46" s="249" t="s">
        <v>383</v>
      </c>
      <c r="E46" s="393">
        <f>ORÇAMENTO!E46</f>
        <v>28</v>
      </c>
      <c r="F46" s="278">
        <v>108.89</v>
      </c>
      <c r="G46" s="278">
        <f t="shared" si="3"/>
        <v>133.35</v>
      </c>
      <c r="H46" s="363">
        <f t="shared" si="4"/>
        <v>3733.8</v>
      </c>
      <c r="I46" s="358">
        <f t="shared" si="0"/>
        <v>5.5936185348710397E-3</v>
      </c>
    </row>
    <row r="47" spans="1:15" s="2" customFormat="1" ht="47.25">
      <c r="A47" s="245" t="s">
        <v>420</v>
      </c>
      <c r="B47" s="236" t="s">
        <v>537</v>
      </c>
      <c r="C47" s="238" t="s">
        <v>536</v>
      </c>
      <c r="D47" s="249" t="s">
        <v>71</v>
      </c>
      <c r="E47" s="393">
        <f>ORÇAMENTO!E47</f>
        <v>31</v>
      </c>
      <c r="F47" s="278">
        <v>99.76</v>
      </c>
      <c r="G47" s="278">
        <f t="shared" si="3"/>
        <v>122.17</v>
      </c>
      <c r="H47" s="363">
        <f t="shared" si="4"/>
        <v>3787.27</v>
      </c>
      <c r="I47" s="358">
        <f t="shared" si="0"/>
        <v>5.6737221245275696E-3</v>
      </c>
    </row>
    <row r="48" spans="1:15" s="2" customFormat="1" ht="78.75">
      <c r="A48" s="245" t="s">
        <v>421</v>
      </c>
      <c r="B48" s="236" t="s">
        <v>483</v>
      </c>
      <c r="C48" s="238" t="s">
        <v>484</v>
      </c>
      <c r="D48" s="249" t="s">
        <v>485</v>
      </c>
      <c r="E48" s="393">
        <f>ORÇAMENTO!E48</f>
        <v>15</v>
      </c>
      <c r="F48" s="278">
        <v>607.25</v>
      </c>
      <c r="G48" s="278">
        <f t="shared" si="3"/>
        <v>743.69</v>
      </c>
      <c r="H48" s="363">
        <f t="shared" si="4"/>
        <v>11155.35</v>
      </c>
      <c r="I48" s="358">
        <f t="shared" si="0"/>
        <v>1.6711867942303726E-2</v>
      </c>
    </row>
    <row r="49" spans="1:15" s="2" customFormat="1" ht="31.5">
      <c r="A49" s="245" t="s">
        <v>422</v>
      </c>
      <c r="B49" s="236" t="s">
        <v>389</v>
      </c>
      <c r="C49" s="238" t="s">
        <v>390</v>
      </c>
      <c r="D49" s="249" t="s">
        <v>379</v>
      </c>
      <c r="E49" s="393">
        <f>ORÇAMENTO!E49</f>
        <v>20</v>
      </c>
      <c r="F49" s="278">
        <v>150.97</v>
      </c>
      <c r="G49" s="278">
        <f t="shared" si="3"/>
        <v>184.89</v>
      </c>
      <c r="H49" s="363">
        <f t="shared" si="4"/>
        <v>3697.8</v>
      </c>
      <c r="I49" s="358">
        <f t="shared" si="0"/>
        <v>5.5396868118930123E-3</v>
      </c>
    </row>
    <row r="50" spans="1:15" s="2" customFormat="1" ht="31.5">
      <c r="A50" s="245" t="s">
        <v>423</v>
      </c>
      <c r="B50" s="236" t="s">
        <v>406</v>
      </c>
      <c r="C50" s="238" t="s">
        <v>391</v>
      </c>
      <c r="D50" s="249" t="s">
        <v>383</v>
      </c>
      <c r="E50" s="393">
        <f>ORÇAMENTO!E50</f>
        <v>18</v>
      </c>
      <c r="F50" s="278">
        <v>2538.61</v>
      </c>
      <c r="G50" s="278">
        <f t="shared" si="3"/>
        <v>3109.03</v>
      </c>
      <c r="H50" s="363">
        <f t="shared" si="4"/>
        <v>55962.54</v>
      </c>
      <c r="I50" s="358">
        <f t="shared" si="0"/>
        <v>8.3837672345187728E-2</v>
      </c>
    </row>
    <row r="51" spans="1:15" s="2" customFormat="1" ht="15.75">
      <c r="A51" s="245" t="s">
        <v>424</v>
      </c>
      <c r="B51" s="236" t="s">
        <v>407</v>
      </c>
      <c r="C51" s="238" t="s">
        <v>392</v>
      </c>
      <c r="D51" s="249" t="s">
        <v>148</v>
      </c>
      <c r="E51" s="393">
        <f>ORÇAMENTO!E51</f>
        <v>40</v>
      </c>
      <c r="F51" s="278">
        <v>43.33</v>
      </c>
      <c r="G51" s="278">
        <f t="shared" si="3"/>
        <v>53.06</v>
      </c>
      <c r="H51" s="363">
        <f t="shared" si="4"/>
        <v>2122.4</v>
      </c>
      <c r="I51" s="358">
        <f t="shared" si="0"/>
        <v>3.1795746902379064E-3</v>
      </c>
    </row>
    <row r="52" spans="1:15" s="2" customFormat="1" ht="47.25">
      <c r="A52" s="245" t="s">
        <v>425</v>
      </c>
      <c r="B52" s="236" t="s">
        <v>408</v>
      </c>
      <c r="C52" s="238" t="s">
        <v>393</v>
      </c>
      <c r="D52" s="249" t="s">
        <v>383</v>
      </c>
      <c r="E52" s="393">
        <f>ORÇAMENTO!E52</f>
        <v>20</v>
      </c>
      <c r="F52" s="278">
        <v>1066.52</v>
      </c>
      <c r="G52" s="278">
        <f t="shared" si="3"/>
        <v>1306.1600000000001</v>
      </c>
      <c r="H52" s="363">
        <f t="shared" si="4"/>
        <v>26123.200000000001</v>
      </c>
      <c r="I52" s="358">
        <f t="shared" si="0"/>
        <v>3.913525515832212E-2</v>
      </c>
    </row>
    <row r="53" spans="1:15" s="2" customFormat="1" ht="31.5">
      <c r="A53" s="245" t="s">
        <v>426</v>
      </c>
      <c r="B53" s="236" t="s">
        <v>409</v>
      </c>
      <c r="C53" s="238" t="s">
        <v>394</v>
      </c>
      <c r="D53" s="249" t="s">
        <v>148</v>
      </c>
      <c r="E53" s="393">
        <f>ORÇAMENTO!E53</f>
        <v>966.4</v>
      </c>
      <c r="F53" s="278">
        <v>107.05</v>
      </c>
      <c r="G53" s="278">
        <f t="shared" si="3"/>
        <v>131.1</v>
      </c>
      <c r="H53" s="363">
        <f t="shared" si="4"/>
        <v>126695.03999999999</v>
      </c>
      <c r="I53" s="358">
        <f t="shared" si="0"/>
        <v>0.18980227222139046</v>
      </c>
    </row>
    <row r="54" spans="1:15" s="2" customFormat="1" ht="30" customHeight="1">
      <c r="A54" s="245" t="s">
        <v>427</v>
      </c>
      <c r="B54" s="365" t="s">
        <v>410</v>
      </c>
      <c r="C54" s="283" t="s">
        <v>395</v>
      </c>
      <c r="D54" s="338" t="s">
        <v>383</v>
      </c>
      <c r="E54" s="393">
        <f>ORÇAMENTO!E54</f>
        <v>252</v>
      </c>
      <c r="F54" s="389">
        <v>12.64</v>
      </c>
      <c r="G54" s="389">
        <f t="shared" si="3"/>
        <v>15.48</v>
      </c>
      <c r="H54" s="391">
        <f t="shared" si="4"/>
        <v>3900.96</v>
      </c>
      <c r="I54" s="358">
        <f t="shared" si="0"/>
        <v>5.8440415018990114E-3</v>
      </c>
    </row>
    <row r="55" spans="1:15" s="2" customFormat="1" ht="31.5">
      <c r="A55" s="245" t="s">
        <v>486</v>
      </c>
      <c r="B55" s="370" t="s">
        <v>411</v>
      </c>
      <c r="C55" s="238" t="s">
        <v>396</v>
      </c>
      <c r="D55" s="237" t="s">
        <v>379</v>
      </c>
      <c r="E55" s="393">
        <f>ORÇAMENTO!E55</f>
        <v>85</v>
      </c>
      <c r="F55" s="278">
        <v>25.11</v>
      </c>
      <c r="G55" s="278">
        <f t="shared" si="3"/>
        <v>30.75</v>
      </c>
      <c r="H55" s="363">
        <f t="shared" si="4"/>
        <v>2613.75</v>
      </c>
      <c r="I55" s="358">
        <f t="shared" si="0"/>
        <v>3.915667803717173E-3</v>
      </c>
    </row>
    <row r="56" spans="1:15" s="2" customFormat="1" ht="31.5">
      <c r="A56" s="245" t="s">
        <v>507</v>
      </c>
      <c r="B56" s="370" t="s">
        <v>412</v>
      </c>
      <c r="C56" s="238" t="s">
        <v>397</v>
      </c>
      <c r="D56" s="237" t="s">
        <v>383</v>
      </c>
      <c r="E56" s="393">
        <f>ORÇAMENTO!E56</f>
        <v>85</v>
      </c>
      <c r="F56" s="278">
        <v>47.16</v>
      </c>
      <c r="G56" s="278">
        <f t="shared" si="3"/>
        <v>57.75</v>
      </c>
      <c r="H56" s="363">
        <f t="shared" si="4"/>
        <v>4908.75</v>
      </c>
      <c r="I56" s="358">
        <f t="shared" si="0"/>
        <v>7.3538151435663971E-3</v>
      </c>
    </row>
    <row r="57" spans="1:15" s="2" customFormat="1" ht="15.75">
      <c r="A57" s="245" t="s">
        <v>508</v>
      </c>
      <c r="B57" s="370" t="s">
        <v>510</v>
      </c>
      <c r="C57" s="238" t="s">
        <v>509</v>
      </c>
      <c r="D57" s="237" t="s">
        <v>71</v>
      </c>
      <c r="E57" s="393">
        <f>ORÇAMENTO!E57</f>
        <v>50</v>
      </c>
      <c r="F57" s="278">
        <v>15.6</v>
      </c>
      <c r="G57" s="278">
        <f t="shared" si="3"/>
        <v>19.100000000000001</v>
      </c>
      <c r="H57" s="363">
        <f t="shared" si="4"/>
        <v>955</v>
      </c>
      <c r="I57" s="358">
        <f t="shared" si="0"/>
        <v>1.4306887623337732E-3</v>
      </c>
    </row>
    <row r="58" spans="1:15" s="2" customFormat="1" ht="15.75">
      <c r="A58" s="245" t="s">
        <v>517</v>
      </c>
      <c r="B58" s="370" t="s">
        <v>512</v>
      </c>
      <c r="C58" s="238" t="s">
        <v>511</v>
      </c>
      <c r="D58" s="237" t="s">
        <v>71</v>
      </c>
      <c r="E58" s="393">
        <f>ORÇAMENTO!E58</f>
        <v>50</v>
      </c>
      <c r="F58" s="278">
        <v>11</v>
      </c>
      <c r="G58" s="278">
        <f t="shared" si="3"/>
        <v>13.47</v>
      </c>
      <c r="H58" s="363">
        <f t="shared" si="4"/>
        <v>673.5</v>
      </c>
      <c r="I58" s="358">
        <f t="shared" si="0"/>
        <v>1.0089726507139228E-3</v>
      </c>
    </row>
    <row r="59" spans="1:15" s="2" customFormat="1" ht="15.75">
      <c r="A59" s="245" t="s">
        <v>518</v>
      </c>
      <c r="B59" s="370" t="s">
        <v>514</v>
      </c>
      <c r="C59" s="238" t="s">
        <v>513</v>
      </c>
      <c r="D59" s="237" t="s">
        <v>71</v>
      </c>
      <c r="E59" s="393">
        <f>ORÇAMENTO!E59</f>
        <v>20</v>
      </c>
      <c r="F59" s="278">
        <v>11</v>
      </c>
      <c r="G59" s="278">
        <f t="shared" si="3"/>
        <v>13.47</v>
      </c>
      <c r="H59" s="363">
        <f t="shared" si="4"/>
        <v>269.39999999999998</v>
      </c>
      <c r="I59" s="358">
        <f t="shared" si="0"/>
        <v>4.0358906028556911E-4</v>
      </c>
    </row>
    <row r="60" spans="1:15" s="2" customFormat="1" ht="31.5">
      <c r="A60" s="245" t="s">
        <v>519</v>
      </c>
      <c r="B60" s="370" t="s">
        <v>516</v>
      </c>
      <c r="C60" s="238" t="s">
        <v>515</v>
      </c>
      <c r="D60" s="237" t="s">
        <v>71</v>
      </c>
      <c r="E60" s="393">
        <f>ORÇAMENTO!E60</f>
        <v>10</v>
      </c>
      <c r="F60" s="278">
        <v>390</v>
      </c>
      <c r="G60" s="278">
        <f t="shared" si="3"/>
        <v>477.63</v>
      </c>
      <c r="H60" s="363">
        <f t="shared" si="4"/>
        <v>4776.3</v>
      </c>
      <c r="I60" s="358">
        <f t="shared" si="0"/>
        <v>7.1553913461097395E-3</v>
      </c>
    </row>
    <row r="61" spans="1:15" s="2" customFormat="1" ht="15.75">
      <c r="A61" s="245" t="s">
        <v>533</v>
      </c>
      <c r="B61" s="370" t="s">
        <v>78</v>
      </c>
      <c r="C61" s="238" t="str">
        <f>'COMPOSIÇÕES (2)'!B29</f>
        <v>Elo fusível Distribuição 15kV 40k 500mm</v>
      </c>
      <c r="D61" s="237" t="s">
        <v>71</v>
      </c>
      <c r="E61" s="393">
        <f>ORÇAMENTO!E61</f>
        <v>50</v>
      </c>
      <c r="F61" s="278">
        <f>'COMPOSIÇÕES (2)'!I33</f>
        <v>18.466666666666669</v>
      </c>
      <c r="G61" s="278">
        <f t="shared" si="3"/>
        <v>22.61</v>
      </c>
      <c r="H61" s="363">
        <f t="shared" si="4"/>
        <v>1130.5</v>
      </c>
      <c r="I61" s="358">
        <f t="shared" si="0"/>
        <v>1.6936059118516551E-3</v>
      </c>
    </row>
    <row r="62" spans="1:15" s="2" customFormat="1" ht="31.5">
      <c r="A62" s="245" t="s">
        <v>538</v>
      </c>
      <c r="B62" s="370" t="s">
        <v>532</v>
      </c>
      <c r="C62" s="238" t="s">
        <v>531</v>
      </c>
      <c r="D62" s="237" t="s">
        <v>71</v>
      </c>
      <c r="E62" s="393">
        <f>ORÇAMENTO!E62</f>
        <v>3</v>
      </c>
      <c r="F62" s="278">
        <v>267.8</v>
      </c>
      <c r="G62" s="278">
        <f t="shared" si="3"/>
        <v>327.97</v>
      </c>
      <c r="H62" s="363">
        <f t="shared" si="4"/>
        <v>983.91</v>
      </c>
      <c r="I62" s="358">
        <f t="shared" si="0"/>
        <v>1.4739989320919611E-3</v>
      </c>
    </row>
    <row r="63" spans="1:15" ht="15.75">
      <c r="A63" s="259">
        <v>7</v>
      </c>
      <c r="B63" s="373"/>
      <c r="C63" s="420" t="s">
        <v>314</v>
      </c>
      <c r="D63" s="421"/>
      <c r="E63" s="422"/>
      <c r="F63" s="341"/>
      <c r="G63" s="396"/>
      <c r="H63" s="398">
        <f>SUM(H64:H70)</f>
        <v>44358.149999999994</v>
      </c>
      <c r="I63" s="358">
        <f t="shared" si="0"/>
        <v>6.645309604493807E-2</v>
      </c>
      <c r="J63" s="8"/>
      <c r="K63" s="8"/>
      <c r="L63" s="8"/>
      <c r="M63" s="8"/>
      <c r="N63" s="8"/>
      <c r="O63" s="8"/>
    </row>
    <row r="64" spans="1:15" s="2" customFormat="1" ht="47.25">
      <c r="A64" s="245" t="s">
        <v>120</v>
      </c>
      <c r="B64" s="245" t="s">
        <v>104</v>
      </c>
      <c r="C64" s="271" t="s">
        <v>105</v>
      </c>
      <c r="D64" s="247" t="s">
        <v>3</v>
      </c>
      <c r="E64" s="240">
        <f>'MEMÓRIA CALC 2'!I62</f>
        <v>22</v>
      </c>
      <c r="F64" s="293">
        <v>36.71</v>
      </c>
      <c r="G64" s="241">
        <f t="shared" ref="G64:G70" si="5">TRUNC(F64*(1+$I$7),2)</f>
        <v>44.95</v>
      </c>
      <c r="H64" s="363">
        <f t="shared" ref="H64:H70" si="6">TRUNC(E64*G64,2)</f>
        <v>988.9</v>
      </c>
      <c r="I64" s="358">
        <f t="shared" si="0"/>
        <v>1.4814744681380821E-3</v>
      </c>
    </row>
    <row r="65" spans="1:15" s="2" customFormat="1" ht="63">
      <c r="A65" s="245" t="s">
        <v>72</v>
      </c>
      <c r="B65" s="245" t="s">
        <v>468</v>
      </c>
      <c r="C65" s="271" t="s">
        <v>467</v>
      </c>
      <c r="D65" s="247" t="s">
        <v>4</v>
      </c>
      <c r="E65" s="240">
        <f>'MEMÓRIA CALC 2'!I63</f>
        <v>9.2973600000000012</v>
      </c>
      <c r="F65" s="293">
        <v>757.19</v>
      </c>
      <c r="G65" s="241">
        <f t="shared" si="5"/>
        <v>927.33</v>
      </c>
      <c r="H65" s="363">
        <f t="shared" si="6"/>
        <v>8621.7199999999993</v>
      </c>
      <c r="I65" s="358">
        <f t="shared" si="0"/>
        <v>1.2916228184280983E-2</v>
      </c>
    </row>
    <row r="66" spans="1:15" s="2" customFormat="1" ht="47.25">
      <c r="A66" s="245" t="s">
        <v>428</v>
      </c>
      <c r="B66" s="245" t="s">
        <v>366</v>
      </c>
      <c r="C66" s="271" t="s">
        <v>365</v>
      </c>
      <c r="D66" s="247" t="s">
        <v>3</v>
      </c>
      <c r="E66" s="240">
        <f>'MEMÓRIA CALC 2'!I64</f>
        <v>10.5</v>
      </c>
      <c r="F66" s="293">
        <v>69.489999999999995</v>
      </c>
      <c r="G66" s="241">
        <f t="shared" si="5"/>
        <v>85.1</v>
      </c>
      <c r="H66" s="363">
        <f t="shared" si="6"/>
        <v>893.55</v>
      </c>
      <c r="I66" s="358">
        <f t="shared" si="0"/>
        <v>1.3386303074171132E-3</v>
      </c>
    </row>
    <row r="67" spans="1:15" s="2" customFormat="1" ht="78.75">
      <c r="A67" s="245" t="s">
        <v>429</v>
      </c>
      <c r="B67" s="245" t="s">
        <v>368</v>
      </c>
      <c r="C67" s="271" t="s">
        <v>367</v>
      </c>
      <c r="D67" s="247" t="s">
        <v>3</v>
      </c>
      <c r="E67" s="240">
        <f>'MEMÓRIA CALC 2'!I65</f>
        <v>197.66</v>
      </c>
      <c r="F67" s="293">
        <v>71.290000000000006</v>
      </c>
      <c r="G67" s="241">
        <f t="shared" si="5"/>
        <v>87.3</v>
      </c>
      <c r="H67" s="363">
        <f t="shared" si="6"/>
        <v>17255.71</v>
      </c>
      <c r="I67" s="358">
        <f t="shared" si="0"/>
        <v>2.5850838097476975E-2</v>
      </c>
    </row>
    <row r="68" spans="1:15" s="2" customFormat="1" ht="47.25">
      <c r="A68" s="245" t="s">
        <v>430</v>
      </c>
      <c r="B68" s="253" t="s">
        <v>375</v>
      </c>
      <c r="C68" s="271" t="s">
        <v>369</v>
      </c>
      <c r="D68" s="247" t="s">
        <v>8</v>
      </c>
      <c r="E68" s="240">
        <f>'MEMÓRIA CALC 2'!I66</f>
        <v>10</v>
      </c>
      <c r="F68" s="293">
        <v>175.71</v>
      </c>
      <c r="G68" s="241">
        <f t="shared" si="5"/>
        <v>215.19</v>
      </c>
      <c r="H68" s="363">
        <f t="shared" si="6"/>
        <v>2151.9</v>
      </c>
      <c r="I68" s="358">
        <f t="shared" si="0"/>
        <v>3.2237687410115673E-3</v>
      </c>
    </row>
    <row r="69" spans="1:15" s="2" customFormat="1" ht="63">
      <c r="A69" s="245" t="s">
        <v>431</v>
      </c>
      <c r="B69" s="236" t="s">
        <v>376</v>
      </c>
      <c r="C69" s="271" t="s">
        <v>370</v>
      </c>
      <c r="D69" s="249" t="s">
        <v>3</v>
      </c>
      <c r="E69" s="240">
        <f>'MEMÓRIA CALC 2'!I67</f>
        <v>22</v>
      </c>
      <c r="F69" s="293">
        <v>45.44</v>
      </c>
      <c r="G69" s="241">
        <f t="shared" si="5"/>
        <v>55.65</v>
      </c>
      <c r="H69" s="363">
        <f t="shared" si="6"/>
        <v>1224.3</v>
      </c>
      <c r="I69" s="358">
        <f t="shared" si="0"/>
        <v>1.8341280122777367E-3</v>
      </c>
    </row>
    <row r="70" spans="1:15" s="2" customFormat="1" ht="31.5">
      <c r="A70" s="245" t="s">
        <v>432</v>
      </c>
      <c r="B70" s="236" t="s">
        <v>374</v>
      </c>
      <c r="C70" s="271" t="s">
        <v>373</v>
      </c>
      <c r="D70" s="249" t="s">
        <v>3</v>
      </c>
      <c r="E70" s="240">
        <f>'MEMÓRIA CALC 2'!I68</f>
        <v>109.12</v>
      </c>
      <c r="F70" s="293">
        <v>98.94</v>
      </c>
      <c r="G70" s="241">
        <f t="shared" si="5"/>
        <v>121.17</v>
      </c>
      <c r="H70" s="363">
        <f t="shared" si="6"/>
        <v>13222.07</v>
      </c>
      <c r="I70" s="358">
        <f t="shared" si="0"/>
        <v>1.9808028234335615E-2</v>
      </c>
    </row>
    <row r="71" spans="1:15" ht="15.75">
      <c r="A71" s="232">
        <v>8</v>
      </c>
      <c r="B71" s="232"/>
      <c r="C71" s="282" t="s">
        <v>7</v>
      </c>
      <c r="D71" s="256"/>
      <c r="E71" s="259"/>
      <c r="F71" s="296"/>
      <c r="G71" s="260"/>
      <c r="H71" s="362">
        <f>SUM(H72:H72)</f>
        <v>260</v>
      </c>
      <c r="I71" s="358">
        <f t="shared" si="0"/>
        <v>3.8950688817463981E-4</v>
      </c>
      <c r="J71" s="5"/>
      <c r="K71" s="5"/>
      <c r="L71" s="5"/>
      <c r="M71" s="5"/>
      <c r="N71" s="5"/>
      <c r="O71" s="5"/>
    </row>
    <row r="72" spans="1:15" s="2" customFormat="1" ht="78.75">
      <c r="A72" s="245" t="s">
        <v>121</v>
      </c>
      <c r="B72" s="236" t="s">
        <v>434</v>
      </c>
      <c r="C72" s="238" t="s">
        <v>433</v>
      </c>
      <c r="D72" s="249" t="s">
        <v>3</v>
      </c>
      <c r="E72" s="252">
        <f>'MEMÓRIA CALC 2'!I70</f>
        <v>5</v>
      </c>
      <c r="F72" s="293">
        <v>42.46</v>
      </c>
      <c r="G72" s="241">
        <f>TRUNC(F72*(1+$I$7),2)</f>
        <v>52</v>
      </c>
      <c r="H72" s="363">
        <f>TRUNC(E72*G72,2)</f>
        <v>260</v>
      </c>
      <c r="I72" s="358">
        <f t="shared" si="0"/>
        <v>3.8950688817463981E-4</v>
      </c>
    </row>
    <row r="73" spans="1:15" ht="15.75">
      <c r="A73" s="259">
        <v>9</v>
      </c>
      <c r="B73" s="272"/>
      <c r="C73" s="274" t="s">
        <v>9</v>
      </c>
      <c r="D73" s="273"/>
      <c r="E73" s="259"/>
      <c r="F73" s="298"/>
      <c r="G73" s="260"/>
      <c r="H73" s="364">
        <f>SUM(H74:H74)</f>
        <v>1390</v>
      </c>
      <c r="I73" s="358">
        <f t="shared" si="0"/>
        <v>2.082363748318267E-3</v>
      </c>
      <c r="J73" s="8"/>
      <c r="K73" s="8"/>
      <c r="L73" s="8"/>
      <c r="M73" s="8"/>
      <c r="N73" s="8"/>
      <c r="O73" s="8"/>
    </row>
    <row r="74" spans="1:15" s="2" customFormat="1" ht="15.75">
      <c r="A74" s="245" t="s">
        <v>68</v>
      </c>
      <c r="B74" s="261" t="s">
        <v>106</v>
      </c>
      <c r="C74" s="271" t="s">
        <v>77</v>
      </c>
      <c r="D74" s="239" t="s">
        <v>3</v>
      </c>
      <c r="E74" s="252">
        <f>'MEMÓRIA CALC 2'!I72</f>
        <v>500</v>
      </c>
      <c r="F74" s="278">
        <v>2.27</v>
      </c>
      <c r="G74" s="241">
        <f>TRUNC(F74*(1+$I$7),2)</f>
        <v>2.78</v>
      </c>
      <c r="H74" s="363">
        <f>TRUNC(E74*G74,2)</f>
        <v>1390</v>
      </c>
      <c r="I74" s="358">
        <f t="shared" si="0"/>
        <v>2.082363748318267E-3</v>
      </c>
    </row>
    <row r="75" spans="1:15" ht="30.75" customHeight="1">
      <c r="A75" s="454"/>
      <c r="B75" s="455"/>
      <c r="C75" s="455"/>
      <c r="D75" s="455"/>
      <c r="E75" s="456"/>
      <c r="F75" s="457" t="s">
        <v>91</v>
      </c>
      <c r="G75" s="458"/>
      <c r="H75" s="262">
        <f>SUM(H12+H14+H26+H33+H36+H71+H63+H73+H30)</f>
        <v>667510.65999999992</v>
      </c>
      <c r="I75" s="358">
        <f t="shared" si="0"/>
        <v>1</v>
      </c>
    </row>
    <row r="76" spans="1:15" s="2" customFormat="1" ht="18.75" customHeight="1">
      <c r="A76"/>
      <c r="B76"/>
      <c r="C76"/>
      <c r="D76"/>
      <c r="E76"/>
      <c r="F76"/>
      <c r="G76"/>
      <c r="H76"/>
      <c r="I76"/>
    </row>
    <row r="77" spans="1:15" ht="69.95" customHeight="1">
      <c r="A77" s="1"/>
      <c r="B77" s="279"/>
      <c r="C77" s="289" t="s">
        <v>80</v>
      </c>
      <c r="D77" s="1"/>
      <c r="E77" s="1"/>
      <c r="F77" s="3"/>
      <c r="G77" s="3"/>
      <c r="I77" s="3"/>
    </row>
    <row r="78" spans="1:15">
      <c r="A78" s="3"/>
      <c r="B78" s="280"/>
      <c r="C78" s="3"/>
      <c r="D78" s="3"/>
      <c r="E78" s="3"/>
    </row>
    <row r="79" spans="1:15" ht="18">
      <c r="A79" s="385" t="s">
        <v>473</v>
      </c>
    </row>
    <row r="80" spans="1:15" s="382" customFormat="1" ht="18">
      <c r="A80" s="459" t="s">
        <v>474</v>
      </c>
      <c r="B80" s="460" t="s">
        <v>477</v>
      </c>
      <c r="C80" s="460"/>
      <c r="D80" s="460"/>
      <c r="E80" s="460"/>
      <c r="F80" s="460"/>
      <c r="G80" s="460"/>
      <c r="H80" s="460"/>
    </row>
    <row r="81" spans="1:8" s="382" customFormat="1" ht="7.5" customHeight="1">
      <c r="A81" s="459"/>
      <c r="B81" s="460"/>
      <c r="C81" s="460"/>
      <c r="D81" s="460"/>
      <c r="E81" s="460"/>
      <c r="F81" s="460"/>
      <c r="G81" s="460"/>
      <c r="H81" s="460"/>
    </row>
    <row r="82" spans="1:8" s="382" customFormat="1" ht="66" customHeight="1">
      <c r="A82" s="386" t="s">
        <v>475</v>
      </c>
      <c r="B82" s="461" t="s">
        <v>534</v>
      </c>
      <c r="C82" s="462"/>
      <c r="D82" s="462"/>
      <c r="E82" s="462"/>
      <c r="F82" s="462"/>
      <c r="G82" s="462"/>
      <c r="H82" s="462"/>
    </row>
    <row r="83" spans="1:8" s="382" customFormat="1" ht="75.75" customHeight="1">
      <c r="A83" s="386" t="s">
        <v>476</v>
      </c>
      <c r="B83" s="461" t="s">
        <v>551</v>
      </c>
      <c r="C83" s="461"/>
      <c r="D83" s="461"/>
      <c r="E83" s="461"/>
      <c r="F83" s="461"/>
      <c r="G83" s="461"/>
      <c r="H83" s="461"/>
    </row>
    <row r="84" spans="1:8">
      <c r="A84" s="378"/>
      <c r="B84"/>
    </row>
    <row r="85" spans="1:8" ht="18">
      <c r="B85" s="446"/>
      <c r="C85" s="446"/>
      <c r="D85" s="446"/>
      <c r="E85" s="446"/>
      <c r="F85" s="446"/>
    </row>
    <row r="86" spans="1:8" ht="18">
      <c r="B86" s="446"/>
      <c r="C86" s="446"/>
      <c r="D86" s="446"/>
      <c r="E86" s="446"/>
      <c r="F86" s="446"/>
    </row>
    <row r="87" spans="1:8" ht="18">
      <c r="B87" s="382"/>
      <c r="C87" s="382"/>
      <c r="D87" s="382"/>
      <c r="E87" s="382"/>
      <c r="F87" s="382"/>
    </row>
    <row r="88" spans="1:8" ht="18">
      <c r="B88" s="382"/>
      <c r="C88" s="382"/>
      <c r="D88" s="382"/>
      <c r="E88" s="382"/>
      <c r="F88" s="430"/>
    </row>
    <row r="89" spans="1:8">
      <c r="B89"/>
    </row>
    <row r="90" spans="1:8">
      <c r="B90"/>
    </row>
    <row r="91" spans="1:8">
      <c r="B91"/>
    </row>
    <row r="92" spans="1:8">
      <c r="B92"/>
    </row>
    <row r="93" spans="1:8">
      <c r="B93"/>
    </row>
    <row r="94" spans="1:8">
      <c r="B94"/>
    </row>
    <row r="95" spans="1:8">
      <c r="B95"/>
    </row>
    <row r="96" spans="1:8">
      <c r="B96"/>
    </row>
    <row r="97" spans="2:2">
      <c r="B97"/>
    </row>
    <row r="98" spans="2:2">
      <c r="B98"/>
    </row>
    <row r="99" spans="2:2" ht="30.75" customHeight="1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</sheetData>
  <mergeCells count="24">
    <mergeCell ref="B85:F85"/>
    <mergeCell ref="B86:F86"/>
    <mergeCell ref="A1:I1"/>
    <mergeCell ref="A2:I2"/>
    <mergeCell ref="A3:I3"/>
    <mergeCell ref="A4:I4"/>
    <mergeCell ref="H6:I6"/>
    <mergeCell ref="B5:G6"/>
    <mergeCell ref="B7:G7"/>
    <mergeCell ref="A75:E75"/>
    <mergeCell ref="F75:G75"/>
    <mergeCell ref="A80:A81"/>
    <mergeCell ref="B80:H81"/>
    <mergeCell ref="B82:H82"/>
    <mergeCell ref="B83:H83"/>
    <mergeCell ref="F10:I10"/>
    <mergeCell ref="A5:A6"/>
    <mergeCell ref="A10:A11"/>
    <mergeCell ref="B10:B11"/>
    <mergeCell ref="C10:C11"/>
    <mergeCell ref="D10:D11"/>
    <mergeCell ref="E10:E11"/>
    <mergeCell ref="A9:I9"/>
    <mergeCell ref="D8:F8"/>
  </mergeCells>
  <conditionalFormatting sqref="I12:I7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3" manualBreakCount="3">
    <brk id="61" max="8" man="1"/>
    <brk id="70" max="8" man="1"/>
    <brk id="8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9"/>
  <sheetViews>
    <sheetView tabSelected="1" showOutlineSymbols="0" showWhiteSpace="0" view="pageBreakPreview" zoomScale="80" zoomScaleNormal="85" zoomScaleSheetLayoutView="80" workbookViewId="0">
      <selection activeCell="F18" sqref="F18"/>
    </sheetView>
  </sheetViews>
  <sheetFormatPr defaultRowHeight="14.25"/>
  <cols>
    <col min="1" max="1" width="16.25" customWidth="1"/>
    <col min="2" max="2" width="11.25" style="276" customWidth="1"/>
    <col min="3" max="3" width="50" customWidth="1"/>
    <col min="4" max="4" width="7.75" customWidth="1"/>
    <col min="5" max="5" width="10.375" customWidth="1"/>
    <col min="6" max="7" width="17.5" customWidth="1"/>
    <col min="8" max="8" width="19.75" customWidth="1"/>
    <col min="9" max="9" width="15.75" customWidth="1"/>
    <col min="10" max="10" width="18.25" customWidth="1"/>
    <col min="11" max="11" width="17.625" customWidth="1"/>
    <col min="12" max="12" width="9.375" customWidth="1"/>
    <col min="14" max="14" width="13.75" bestFit="1" customWidth="1"/>
    <col min="16" max="16" width="10.75" bestFit="1" customWidth="1"/>
    <col min="17" max="17" width="9" customWidth="1"/>
  </cols>
  <sheetData>
    <row r="1" spans="1:18" ht="15.75">
      <c r="A1" s="447" t="s">
        <v>81</v>
      </c>
      <c r="B1" s="447"/>
      <c r="C1" s="447"/>
      <c r="D1" s="447"/>
      <c r="E1" s="447"/>
      <c r="F1" s="447"/>
      <c r="G1" s="447"/>
      <c r="H1" s="447"/>
      <c r="I1" s="447"/>
      <c r="J1" s="447"/>
      <c r="K1" s="349"/>
      <c r="L1" s="5"/>
      <c r="M1" s="5"/>
      <c r="N1" s="6"/>
      <c r="O1" s="6"/>
      <c r="P1" s="6"/>
      <c r="Q1" s="6"/>
      <c r="R1" s="6"/>
    </row>
    <row r="2" spans="1:18" ht="15.75">
      <c r="A2" s="448" t="s">
        <v>82</v>
      </c>
      <c r="B2" s="448"/>
      <c r="C2" s="448"/>
      <c r="D2" s="448"/>
      <c r="E2" s="448"/>
      <c r="F2" s="448"/>
      <c r="G2" s="448"/>
      <c r="H2" s="448"/>
      <c r="I2" s="448"/>
      <c r="J2" s="448"/>
      <c r="K2" s="350"/>
      <c r="L2" s="5"/>
      <c r="M2" s="5"/>
      <c r="N2" s="5"/>
      <c r="O2" s="5"/>
      <c r="P2" s="5"/>
      <c r="Q2" s="5"/>
      <c r="R2" s="5"/>
    </row>
    <row r="3" spans="1:18" ht="15.75">
      <c r="A3" s="448" t="s">
        <v>19</v>
      </c>
      <c r="B3" s="448"/>
      <c r="C3" s="448"/>
      <c r="D3" s="448"/>
      <c r="E3" s="448"/>
      <c r="F3" s="448"/>
      <c r="G3" s="448"/>
      <c r="H3" s="448"/>
      <c r="I3" s="448"/>
      <c r="J3" s="448"/>
      <c r="K3" s="350"/>
      <c r="L3" s="5"/>
      <c r="M3" s="5"/>
      <c r="N3" s="5"/>
      <c r="O3" s="5"/>
      <c r="P3" s="5"/>
      <c r="Q3" s="5"/>
      <c r="R3" s="5"/>
    </row>
    <row r="4" spans="1:18" ht="15.75">
      <c r="A4" s="449" t="s">
        <v>83</v>
      </c>
      <c r="B4" s="449"/>
      <c r="C4" s="449"/>
      <c r="D4" s="449"/>
      <c r="E4" s="449"/>
      <c r="F4" s="449"/>
      <c r="G4" s="449"/>
      <c r="H4" s="449"/>
      <c r="I4" s="449"/>
      <c r="J4" s="449"/>
      <c r="K4" s="351"/>
      <c r="L4" s="5"/>
      <c r="N4" s="5"/>
      <c r="O4" s="5"/>
      <c r="P4" s="5"/>
      <c r="Q4" s="5"/>
      <c r="R4" s="5"/>
    </row>
    <row r="5" spans="1:18" ht="15.75" customHeight="1">
      <c r="A5" s="466" t="s">
        <v>84</v>
      </c>
      <c r="B5" s="468" t="s">
        <v>328</v>
      </c>
      <c r="C5" s="469"/>
      <c r="D5" s="469"/>
      <c r="E5" s="469"/>
      <c r="F5" s="470"/>
      <c r="G5" s="380" t="s">
        <v>20</v>
      </c>
      <c r="H5" s="381">
        <v>45072</v>
      </c>
      <c r="I5" s="380" t="s">
        <v>20</v>
      </c>
      <c r="J5" s="381">
        <v>45072</v>
      </c>
      <c r="K5" s="352"/>
      <c r="L5" s="5"/>
      <c r="M5" s="5"/>
      <c r="N5" s="5"/>
      <c r="O5" s="5"/>
      <c r="P5" s="5"/>
      <c r="Q5" s="5"/>
      <c r="R5" s="5"/>
    </row>
    <row r="6" spans="1:18" ht="15.75">
      <c r="A6" s="467"/>
      <c r="B6" s="471"/>
      <c r="C6" s="472"/>
      <c r="D6" s="472"/>
      <c r="E6" s="472"/>
      <c r="F6" s="473"/>
      <c r="G6" s="464" t="s">
        <v>470</v>
      </c>
      <c r="H6" s="465"/>
      <c r="I6" s="464" t="s">
        <v>471</v>
      </c>
      <c r="J6" s="464"/>
      <c r="K6" s="352"/>
      <c r="L6" s="5"/>
      <c r="M6" s="5"/>
      <c r="N6" s="5"/>
      <c r="O6" s="5"/>
      <c r="P6" s="5"/>
      <c r="Q6" s="5"/>
      <c r="R6" s="5"/>
    </row>
    <row r="7" spans="1:18" ht="15.75" customHeight="1">
      <c r="A7" s="9" t="s">
        <v>85</v>
      </c>
      <c r="B7" s="570" t="s">
        <v>95</v>
      </c>
      <c r="C7" s="571"/>
      <c r="D7" s="571"/>
      <c r="E7" s="571"/>
      <c r="F7" s="572"/>
      <c r="G7" s="380" t="s">
        <v>86</v>
      </c>
      <c r="H7" s="195">
        <v>0.22470000000000001</v>
      </c>
      <c r="I7" s="380" t="s">
        <v>86</v>
      </c>
      <c r="J7" s="195">
        <v>0.28820000000000001</v>
      </c>
      <c r="K7" s="353"/>
      <c r="L7" s="5"/>
      <c r="M7" s="5"/>
      <c r="N7" s="5"/>
      <c r="O7" s="5"/>
      <c r="P7" s="5"/>
      <c r="Q7" s="5"/>
      <c r="R7" s="5"/>
    </row>
    <row r="8" spans="1:18" ht="15.75">
      <c r="A8" s="26" t="s">
        <v>87</v>
      </c>
      <c r="B8" s="569" t="s">
        <v>539</v>
      </c>
      <c r="C8" s="573" t="s">
        <v>552</v>
      </c>
      <c r="D8" s="474" t="s">
        <v>554</v>
      </c>
      <c r="E8" s="474"/>
      <c r="F8" s="475"/>
      <c r="G8" s="380" t="s">
        <v>88</v>
      </c>
      <c r="H8" s="10">
        <v>0.1089</v>
      </c>
      <c r="I8" s="380" t="s">
        <v>88</v>
      </c>
      <c r="J8" s="10">
        <v>0.1089</v>
      </c>
      <c r="K8" s="354"/>
      <c r="L8" s="5"/>
      <c r="M8" s="5"/>
      <c r="N8" s="5"/>
      <c r="O8" s="5"/>
      <c r="P8" s="5"/>
      <c r="Q8" s="5"/>
      <c r="R8" s="5"/>
    </row>
    <row r="9" spans="1:18" ht="15.75">
      <c r="A9" s="476" t="s">
        <v>69</v>
      </c>
      <c r="B9" s="477"/>
      <c r="C9" s="477"/>
      <c r="D9" s="477"/>
      <c r="E9" s="477"/>
      <c r="F9" s="478"/>
      <c r="G9" s="478"/>
      <c r="H9" s="478"/>
      <c r="I9" s="348"/>
      <c r="J9" s="4"/>
      <c r="K9" s="4"/>
      <c r="L9" s="5"/>
      <c r="M9" s="5"/>
      <c r="N9" s="5"/>
      <c r="O9" s="5"/>
      <c r="P9" s="5"/>
      <c r="Q9" s="5"/>
      <c r="R9" s="5"/>
    </row>
    <row r="10" spans="1:18" ht="15.75">
      <c r="A10" s="439" t="s">
        <v>89</v>
      </c>
      <c r="B10" s="441" t="s">
        <v>2</v>
      </c>
      <c r="C10" s="439" t="s">
        <v>90</v>
      </c>
      <c r="D10" s="439" t="s">
        <v>17</v>
      </c>
      <c r="E10" s="444" t="s">
        <v>91</v>
      </c>
      <c r="F10" s="436" t="s">
        <v>92</v>
      </c>
      <c r="G10" s="436"/>
      <c r="H10" s="436"/>
      <c r="I10" s="436"/>
      <c r="J10" s="436"/>
      <c r="K10" s="436"/>
      <c r="L10" s="436"/>
      <c r="M10" s="5"/>
      <c r="N10" s="5"/>
      <c r="O10" s="5"/>
      <c r="P10" s="5"/>
      <c r="Q10" s="5"/>
      <c r="R10" s="5"/>
    </row>
    <row r="11" spans="1:18" ht="47.25">
      <c r="A11" s="440"/>
      <c r="B11" s="442"/>
      <c r="C11" s="443"/>
      <c r="D11" s="440"/>
      <c r="E11" s="440"/>
      <c r="F11" s="292" t="s">
        <v>321</v>
      </c>
      <c r="G11" s="292" t="s">
        <v>322</v>
      </c>
      <c r="H11" s="292" t="s">
        <v>319</v>
      </c>
      <c r="I11" s="292" t="s">
        <v>318</v>
      </c>
      <c r="J11" s="361" t="s">
        <v>320</v>
      </c>
      <c r="K11" s="340" t="s">
        <v>460</v>
      </c>
      <c r="L11" s="340" t="s">
        <v>472</v>
      </c>
      <c r="M11" s="5"/>
      <c r="N11" s="263"/>
      <c r="O11" s="5"/>
      <c r="P11" s="5"/>
      <c r="Q11" s="5"/>
      <c r="R11" s="5"/>
    </row>
    <row r="12" spans="1:18" ht="15.75">
      <c r="A12" s="232">
        <v>1</v>
      </c>
      <c r="B12" s="233"/>
      <c r="C12" s="234" t="s">
        <v>0</v>
      </c>
      <c r="D12" s="232"/>
      <c r="E12" s="235"/>
      <c r="F12" s="235"/>
      <c r="G12" s="235"/>
      <c r="H12" s="235"/>
      <c r="I12" s="235"/>
      <c r="J12" s="294">
        <f>SUM(J13:J13)</f>
        <v>818.2</v>
      </c>
      <c r="K12" s="362">
        <f>SUM(K13:K13)</f>
        <v>758.2</v>
      </c>
      <c r="L12" s="358">
        <f t="shared" ref="L12:L23" si="0">J12/$J$75</f>
        <v>1.2049540192668347E-3</v>
      </c>
      <c r="M12" s="5"/>
      <c r="N12" s="5"/>
      <c r="O12" s="5"/>
      <c r="P12" s="5"/>
      <c r="Q12" s="5"/>
      <c r="R12" s="5"/>
    </row>
    <row r="13" spans="1:18" ht="15.75">
      <c r="A13" s="236" t="s">
        <v>307</v>
      </c>
      <c r="B13" s="237" t="s">
        <v>305</v>
      </c>
      <c r="C13" s="242" t="s">
        <v>304</v>
      </c>
      <c r="D13" s="239" t="s">
        <v>94</v>
      </c>
      <c r="E13" s="240">
        <f>'MEMÓRIA CALC 2'!I11</f>
        <v>20</v>
      </c>
      <c r="F13" s="293">
        <v>31.76</v>
      </c>
      <c r="G13" s="293">
        <v>30.96</v>
      </c>
      <c r="H13" s="241">
        <f>TRUNC(F13*(1+$J$7),2)</f>
        <v>40.909999999999997</v>
      </c>
      <c r="I13" s="241">
        <f>TRUNC(G13*(1+$H$7),2)</f>
        <v>37.909999999999997</v>
      </c>
      <c r="J13" s="355">
        <f>TRUNC(E13*H13,2)</f>
        <v>818.2</v>
      </c>
      <c r="K13" s="363">
        <f>TRUNC(E13*I13,2)</f>
        <v>758.2</v>
      </c>
      <c r="L13" s="358">
        <f t="shared" si="0"/>
        <v>1.2049540192668347E-3</v>
      </c>
      <c r="M13" s="5"/>
      <c r="N13" s="5"/>
      <c r="O13" s="5"/>
      <c r="P13" s="5"/>
      <c r="Q13" s="5"/>
      <c r="R13" s="5"/>
    </row>
    <row r="14" spans="1:18" ht="15.75">
      <c r="A14" s="232">
        <v>2</v>
      </c>
      <c r="B14" s="243"/>
      <c r="C14" s="244" t="s">
        <v>93</v>
      </c>
      <c r="D14" s="232"/>
      <c r="E14" s="235"/>
      <c r="F14" s="294"/>
      <c r="G14" s="294"/>
      <c r="H14" s="235"/>
      <c r="I14" s="235"/>
      <c r="J14" s="294">
        <f>SUM(J15:J25)</f>
        <v>74966.47</v>
      </c>
      <c r="K14" s="362">
        <f>SUM(K15:K25)</f>
        <v>80032.09</v>
      </c>
      <c r="L14" s="358">
        <f t="shared" si="0"/>
        <v>0.11040228469414151</v>
      </c>
      <c r="M14" s="5"/>
      <c r="N14" s="5"/>
      <c r="O14" s="5"/>
      <c r="P14" s="5"/>
      <c r="Q14" s="5"/>
      <c r="R14" s="5"/>
    </row>
    <row r="15" spans="1:18" s="2" customFormat="1" ht="15.75">
      <c r="A15" s="245" t="s">
        <v>10</v>
      </c>
      <c r="B15" s="245" t="s">
        <v>18</v>
      </c>
      <c r="C15" s="271" t="s">
        <v>96</v>
      </c>
      <c r="D15" s="247" t="s">
        <v>71</v>
      </c>
      <c r="E15" s="240">
        <v>2</v>
      </c>
      <c r="F15" s="293">
        <f>'COMPOSIÇÕES (2)'!F26</f>
        <v>254.59</v>
      </c>
      <c r="G15" s="293">
        <f>F15</f>
        <v>254.59</v>
      </c>
      <c r="H15" s="241">
        <f t="shared" ref="H15:H25" si="1">TRUNC(F15*(1+$J$7),2)</f>
        <v>327.96</v>
      </c>
      <c r="I15" s="241">
        <f>TRUNC(G15*(1+$H$7),2)</f>
        <v>311.79000000000002</v>
      </c>
      <c r="J15" s="355">
        <f>TRUNC(E15*H15,2)</f>
        <v>655.92</v>
      </c>
      <c r="K15" s="363">
        <f>TRUNC(E15*I15,2)</f>
        <v>623.58000000000004</v>
      </c>
      <c r="L15" s="358">
        <f t="shared" si="0"/>
        <v>9.6596607225311925E-4</v>
      </c>
    </row>
    <row r="16" spans="1:18" s="2" customFormat="1" ht="47.25">
      <c r="A16" s="245" t="s">
        <v>73</v>
      </c>
      <c r="B16" s="236" t="s">
        <v>16</v>
      </c>
      <c r="C16" s="238" t="s">
        <v>550</v>
      </c>
      <c r="D16" s="249" t="s">
        <v>30</v>
      </c>
      <c r="E16" s="248">
        <v>1</v>
      </c>
      <c r="F16" s="293">
        <f>'COMPOSIÇÕES (2)'!H23</f>
        <v>40095.089999999997</v>
      </c>
      <c r="G16" s="293">
        <f>'COMPOSIÇÕES (2)'!I23</f>
        <v>46582.200000000004</v>
      </c>
      <c r="H16" s="241">
        <f t="shared" si="1"/>
        <v>51650.49</v>
      </c>
      <c r="I16" s="241">
        <f t="shared" ref="I16:I74" si="2">TRUNC(G16*(1+$H$7),2)</f>
        <v>57049.22</v>
      </c>
      <c r="J16" s="355">
        <f t="shared" ref="J16:J23" si="3">TRUNC(E16*H16,2)</f>
        <v>51650.49</v>
      </c>
      <c r="K16" s="363">
        <f t="shared" ref="K16:K23" si="4">TRUNC(E16*I16,2)</f>
        <v>57049.22</v>
      </c>
      <c r="L16" s="358">
        <f t="shared" si="0"/>
        <v>7.6065100858716025E-2</v>
      </c>
    </row>
    <row r="17" spans="1:18" s="2" customFormat="1" ht="31.5">
      <c r="A17" s="245" t="s">
        <v>11</v>
      </c>
      <c r="B17" s="236" t="s">
        <v>299</v>
      </c>
      <c r="C17" s="379" t="s">
        <v>298</v>
      </c>
      <c r="D17" s="249" t="s">
        <v>3</v>
      </c>
      <c r="E17" s="240">
        <f>'MEMÓRIA CALC 2'!I15</f>
        <v>4.5</v>
      </c>
      <c r="F17" s="293">
        <v>348.79</v>
      </c>
      <c r="G17" s="293">
        <v>368.35</v>
      </c>
      <c r="H17" s="241">
        <f t="shared" si="1"/>
        <v>449.31</v>
      </c>
      <c r="I17" s="241">
        <f t="shared" si="2"/>
        <v>451.11</v>
      </c>
      <c r="J17" s="355">
        <f t="shared" si="3"/>
        <v>2021.89</v>
      </c>
      <c r="K17" s="363">
        <f t="shared" si="4"/>
        <v>2029.99</v>
      </c>
      <c r="L17" s="358">
        <f t="shared" si="0"/>
        <v>2.977614864355195E-3</v>
      </c>
    </row>
    <row r="18" spans="1:18" s="2" customFormat="1" ht="47.25">
      <c r="A18" s="245" t="s">
        <v>70</v>
      </c>
      <c r="B18" s="236">
        <v>98525</v>
      </c>
      <c r="C18" s="283" t="s">
        <v>97</v>
      </c>
      <c r="D18" s="338" t="s">
        <v>3</v>
      </c>
      <c r="E18" s="339">
        <f>'MEMÓRIA CALC 2'!I16</f>
        <v>500</v>
      </c>
      <c r="F18" s="299">
        <v>0.36</v>
      </c>
      <c r="G18" s="299">
        <v>0.38</v>
      </c>
      <c r="H18" s="277">
        <f t="shared" si="1"/>
        <v>0.46</v>
      </c>
      <c r="I18" s="241">
        <f t="shared" si="2"/>
        <v>0.46</v>
      </c>
      <c r="J18" s="356">
        <f t="shared" si="3"/>
        <v>230</v>
      </c>
      <c r="K18" s="363">
        <f t="shared" si="4"/>
        <v>230</v>
      </c>
      <c r="L18" s="358">
        <f t="shared" si="0"/>
        <v>3.387184361175409E-4</v>
      </c>
    </row>
    <row r="19" spans="1:18" s="2" customFormat="1" ht="78.75">
      <c r="A19" s="245" t="s">
        <v>74</v>
      </c>
      <c r="B19" s="236" t="s">
        <v>301</v>
      </c>
      <c r="C19" s="238" t="s">
        <v>300</v>
      </c>
      <c r="D19" s="237" t="s">
        <v>4</v>
      </c>
      <c r="E19" s="339">
        <f>'MEMÓRIA CALC 2'!I17</f>
        <v>60</v>
      </c>
      <c r="F19" s="278">
        <v>8.69</v>
      </c>
      <c r="G19" s="278">
        <v>8.86</v>
      </c>
      <c r="H19" s="278">
        <f t="shared" si="1"/>
        <v>11.19</v>
      </c>
      <c r="I19" s="241">
        <f t="shared" si="2"/>
        <v>10.85</v>
      </c>
      <c r="J19" s="297">
        <f t="shared" si="3"/>
        <v>671.4</v>
      </c>
      <c r="K19" s="363">
        <f t="shared" si="4"/>
        <v>651</v>
      </c>
      <c r="L19" s="358">
        <f t="shared" si="0"/>
        <v>9.887632956926825E-4</v>
      </c>
    </row>
    <row r="20" spans="1:18" s="2" customFormat="1" ht="31.5">
      <c r="A20" s="245" t="s">
        <v>75</v>
      </c>
      <c r="B20" s="236" t="s">
        <v>489</v>
      </c>
      <c r="C20" s="238" t="s">
        <v>488</v>
      </c>
      <c r="D20" s="237" t="s">
        <v>127</v>
      </c>
      <c r="E20" s="339">
        <v>7</v>
      </c>
      <c r="F20" s="278">
        <v>1101.3</v>
      </c>
      <c r="G20" s="278">
        <v>1101.3</v>
      </c>
      <c r="H20" s="278">
        <f t="shared" si="1"/>
        <v>1418.69</v>
      </c>
      <c r="I20" s="241">
        <f t="shared" si="2"/>
        <v>1348.76</v>
      </c>
      <c r="J20" s="297">
        <f t="shared" si="3"/>
        <v>9930.83</v>
      </c>
      <c r="K20" s="363">
        <f t="shared" si="4"/>
        <v>9441.32</v>
      </c>
      <c r="L20" s="358">
        <f t="shared" si="0"/>
        <v>1.4625022638909387E-2</v>
      </c>
    </row>
    <row r="21" spans="1:18" s="2" customFormat="1" ht="47.25">
      <c r="A21" s="245" t="s">
        <v>76</v>
      </c>
      <c r="B21" s="236" t="s">
        <v>359</v>
      </c>
      <c r="C21" s="238" t="s">
        <v>360</v>
      </c>
      <c r="D21" s="268" t="s">
        <v>3</v>
      </c>
      <c r="E21" s="339">
        <f>'MEMÓRIA CALC 2'!I19</f>
        <v>10.5</v>
      </c>
      <c r="F21" s="278">
        <v>12.43</v>
      </c>
      <c r="G21" s="278">
        <v>13.81</v>
      </c>
      <c r="H21" s="278">
        <f t="shared" si="1"/>
        <v>16.010000000000002</v>
      </c>
      <c r="I21" s="241">
        <f t="shared" si="2"/>
        <v>16.91</v>
      </c>
      <c r="J21" s="297">
        <f t="shared" si="3"/>
        <v>168.1</v>
      </c>
      <c r="K21" s="363">
        <f t="shared" si="4"/>
        <v>177.55</v>
      </c>
      <c r="L21" s="358">
        <f t="shared" si="0"/>
        <v>2.4755899613634186E-4</v>
      </c>
    </row>
    <row r="22" spans="1:18" s="2" customFormat="1" ht="47.25">
      <c r="A22" s="245" t="s">
        <v>317</v>
      </c>
      <c r="B22" s="236" t="s">
        <v>362</v>
      </c>
      <c r="C22" s="238" t="s">
        <v>361</v>
      </c>
      <c r="D22" s="268" t="s">
        <v>3</v>
      </c>
      <c r="E22" s="339">
        <f>'MEMÓRIA CALC 2'!I20</f>
        <v>22</v>
      </c>
      <c r="F22" s="278">
        <v>10.37</v>
      </c>
      <c r="G22" s="278">
        <v>11.5</v>
      </c>
      <c r="H22" s="278">
        <f t="shared" si="1"/>
        <v>13.35</v>
      </c>
      <c r="I22" s="241">
        <f t="shared" si="2"/>
        <v>14.08</v>
      </c>
      <c r="J22" s="297">
        <f t="shared" si="3"/>
        <v>293.7</v>
      </c>
      <c r="K22" s="363">
        <f t="shared" si="4"/>
        <v>309.76</v>
      </c>
      <c r="L22" s="358">
        <f t="shared" si="0"/>
        <v>4.3252871603357288E-4</v>
      </c>
    </row>
    <row r="23" spans="1:18" s="2" customFormat="1" ht="31.5">
      <c r="A23" s="387" t="s">
        <v>327</v>
      </c>
      <c r="B23" s="365" t="s">
        <v>364</v>
      </c>
      <c r="C23" s="283" t="s">
        <v>363</v>
      </c>
      <c r="D23" s="388" t="s">
        <v>4</v>
      </c>
      <c r="E23" s="339">
        <f>'MEMÓRIA CALC 2'!I21</f>
        <v>15.495600000000003</v>
      </c>
      <c r="F23" s="389">
        <v>229.15</v>
      </c>
      <c r="G23" s="389">
        <v>252.94</v>
      </c>
      <c r="H23" s="389">
        <f t="shared" si="1"/>
        <v>295.19</v>
      </c>
      <c r="I23" s="277">
        <f t="shared" si="2"/>
        <v>309.77</v>
      </c>
      <c r="J23" s="390">
        <f t="shared" si="3"/>
        <v>4574.1400000000003</v>
      </c>
      <c r="K23" s="391">
        <f t="shared" si="4"/>
        <v>4800.07</v>
      </c>
      <c r="L23" s="358">
        <f t="shared" si="0"/>
        <v>6.7362849886203856E-3</v>
      </c>
    </row>
    <row r="24" spans="1:18" s="2" customFormat="1" ht="15.75">
      <c r="A24" s="370" t="s">
        <v>494</v>
      </c>
      <c r="B24" s="370" t="s">
        <v>496</v>
      </c>
      <c r="C24" s="283" t="s">
        <v>490</v>
      </c>
      <c r="D24" s="268" t="s">
        <v>491</v>
      </c>
      <c r="E24" s="392">
        <f>'MEMÓRIA CALC 2'!I22</f>
        <v>5400</v>
      </c>
      <c r="F24" s="278">
        <v>0.44</v>
      </c>
      <c r="G24" s="278">
        <v>0.44</v>
      </c>
      <c r="H24" s="278">
        <f t="shared" si="1"/>
        <v>0.56000000000000005</v>
      </c>
      <c r="I24" s="278">
        <f t="shared" si="2"/>
        <v>0.53</v>
      </c>
      <c r="J24" s="278">
        <f t="shared" ref="J24:J25" si="5">TRUNC(E24*H24,2)</f>
        <v>3024</v>
      </c>
      <c r="K24" s="363">
        <f t="shared" ref="K24:K25" si="6">TRUNC(E24*I24,2)</f>
        <v>2862</v>
      </c>
      <c r="L24" s="358">
        <f t="shared" ref="L24:L25" si="7">J24/$J$75</f>
        <v>4.4534110905193203E-3</v>
      </c>
    </row>
    <row r="25" spans="1:18" s="2" customFormat="1" ht="31.5">
      <c r="A25" s="370" t="s">
        <v>495</v>
      </c>
      <c r="B25" s="370" t="s">
        <v>497</v>
      </c>
      <c r="C25" s="238" t="s">
        <v>492</v>
      </c>
      <c r="D25" s="268" t="s">
        <v>493</v>
      </c>
      <c r="E25" s="392">
        <f>'MEMÓRIA CALC 2'!I23</f>
        <v>360</v>
      </c>
      <c r="F25" s="278">
        <v>3.77</v>
      </c>
      <c r="G25" s="278">
        <v>4.22</v>
      </c>
      <c r="H25" s="278">
        <f t="shared" si="1"/>
        <v>4.8499999999999996</v>
      </c>
      <c r="I25" s="278">
        <f t="shared" si="2"/>
        <v>5.16</v>
      </c>
      <c r="J25" s="278">
        <f t="shared" si="5"/>
        <v>1746</v>
      </c>
      <c r="K25" s="363">
        <f t="shared" si="6"/>
        <v>1857.6</v>
      </c>
      <c r="L25" s="358">
        <f t="shared" si="7"/>
        <v>2.5713147367879413E-3</v>
      </c>
    </row>
    <row r="26" spans="1:18" ht="15.75">
      <c r="A26" s="232">
        <v>3</v>
      </c>
      <c r="B26" s="250"/>
      <c r="C26" s="244" t="s">
        <v>312</v>
      </c>
      <c r="D26" s="373"/>
      <c r="E26" s="362"/>
      <c r="F26" s="374"/>
      <c r="G26" s="337"/>
      <c r="H26" s="243"/>
      <c r="I26" s="260"/>
      <c r="J26" s="337">
        <f>SUM(J27:J29)</f>
        <v>77409.87</v>
      </c>
      <c r="K26" s="362">
        <f>SUM(K27:K29)</f>
        <v>81255.39</v>
      </c>
      <c r="L26" s="358">
        <f t="shared" ref="L26:L75" si="8">J26/$J$75</f>
        <v>0.11400065263679195</v>
      </c>
      <c r="M26" s="5"/>
      <c r="N26" s="5"/>
      <c r="O26" s="5"/>
      <c r="P26" s="5"/>
      <c r="Q26" s="5"/>
      <c r="R26" s="5"/>
    </row>
    <row r="27" spans="1:18" s="2" customFormat="1" ht="31.5">
      <c r="A27" s="245" t="s">
        <v>115</v>
      </c>
      <c r="B27" s="245">
        <v>93358</v>
      </c>
      <c r="C27" s="246" t="s">
        <v>98</v>
      </c>
      <c r="D27" s="247" t="s">
        <v>4</v>
      </c>
      <c r="E27" s="375">
        <f>'MEMÓRIA CALC 2'!I25</f>
        <v>525.97840000000008</v>
      </c>
      <c r="F27" s="295">
        <v>69.819999999999993</v>
      </c>
      <c r="G27" s="295">
        <v>77.180000000000007</v>
      </c>
      <c r="H27" s="241">
        <f t="shared" ref="H27:H32" si="9">TRUNC(F27*(1+$J$7),2)</f>
        <v>89.94</v>
      </c>
      <c r="I27" s="241">
        <f t="shared" si="2"/>
        <v>94.52</v>
      </c>
      <c r="J27" s="355">
        <f t="shared" ref="J27:J32" si="10">TRUNC(E27*H27,2)</f>
        <v>47306.49</v>
      </c>
      <c r="K27" s="363">
        <f>TRUNC(E27*I27,2)</f>
        <v>49715.47</v>
      </c>
      <c r="L27" s="358">
        <f t="shared" si="8"/>
        <v>6.9667740482652563E-2</v>
      </c>
    </row>
    <row r="28" spans="1:18" s="2" customFormat="1" ht="15.75">
      <c r="A28" s="245" t="s">
        <v>116</v>
      </c>
      <c r="B28" s="253">
        <v>96995</v>
      </c>
      <c r="C28" s="246" t="s">
        <v>99</v>
      </c>
      <c r="D28" s="247" t="s">
        <v>4</v>
      </c>
      <c r="E28" s="252">
        <f>'MEMÓRIA CALC 2'!I26</f>
        <v>525.97840000000008</v>
      </c>
      <c r="F28" s="295">
        <v>42.33</v>
      </c>
      <c r="G28" s="295">
        <v>46.79</v>
      </c>
      <c r="H28" s="241">
        <f t="shared" si="9"/>
        <v>54.52</v>
      </c>
      <c r="I28" s="241">
        <f t="shared" si="2"/>
        <v>57.3</v>
      </c>
      <c r="J28" s="355">
        <f t="shared" si="10"/>
        <v>28676.34</v>
      </c>
      <c r="K28" s="363">
        <f t="shared" ref="K28:K29" si="11">TRUNC(E28*I28,2)</f>
        <v>30138.560000000001</v>
      </c>
      <c r="L28" s="358">
        <f t="shared" si="8"/>
        <v>4.2231326253803839E-2</v>
      </c>
    </row>
    <row r="29" spans="1:18" s="2" customFormat="1" ht="31.5">
      <c r="A29" s="245" t="s">
        <v>117</v>
      </c>
      <c r="B29" s="245">
        <v>94342</v>
      </c>
      <c r="C29" s="271" t="s">
        <v>100</v>
      </c>
      <c r="D29" s="254" t="s">
        <v>4</v>
      </c>
      <c r="E29" s="252">
        <f>'MEMÓRIA CALC 2'!I27</f>
        <v>12</v>
      </c>
      <c r="F29" s="295">
        <v>92.32</v>
      </c>
      <c r="G29" s="295">
        <v>95.36</v>
      </c>
      <c r="H29" s="241">
        <f t="shared" si="9"/>
        <v>118.92</v>
      </c>
      <c r="I29" s="241">
        <f t="shared" si="2"/>
        <v>116.78</v>
      </c>
      <c r="J29" s="355">
        <f t="shared" si="10"/>
        <v>1427.04</v>
      </c>
      <c r="K29" s="363">
        <f t="shared" si="11"/>
        <v>1401.36</v>
      </c>
      <c r="L29" s="358">
        <f t="shared" si="8"/>
        <v>2.1015859003355461E-3</v>
      </c>
    </row>
    <row r="30" spans="1:18" ht="15.75">
      <c r="A30" s="232">
        <v>4</v>
      </c>
      <c r="B30" s="250"/>
      <c r="C30" s="251" t="s">
        <v>313</v>
      </c>
      <c r="D30" s="232"/>
      <c r="E30" s="235"/>
      <c r="F30" s="294"/>
      <c r="G30" s="294"/>
      <c r="H30" s="235"/>
      <c r="I30" s="260"/>
      <c r="J30" s="294">
        <f>SUM(J31:J32)</f>
        <v>3686.79</v>
      </c>
      <c r="K30" s="362">
        <f>SUM(K31:K32)</f>
        <v>3600.5699999999997</v>
      </c>
      <c r="L30" s="358">
        <f t="shared" si="8"/>
        <v>5.4294945351903859E-3</v>
      </c>
      <c r="M30" s="5"/>
      <c r="N30" s="5"/>
      <c r="O30" s="5"/>
      <c r="P30" s="5"/>
      <c r="Q30" s="5"/>
      <c r="R30" s="5"/>
    </row>
    <row r="31" spans="1:18" s="2" customFormat="1" ht="65.25" customHeight="1">
      <c r="A31" s="245" t="s">
        <v>118</v>
      </c>
      <c r="B31" s="245" t="s">
        <v>372</v>
      </c>
      <c r="C31" s="271" t="s">
        <v>371</v>
      </c>
      <c r="D31" s="247" t="s">
        <v>4</v>
      </c>
      <c r="E31" s="252">
        <f>'MEMÓRIA CALC 2'!I29</f>
        <v>2.5</v>
      </c>
      <c r="F31" s="295">
        <v>624.53</v>
      </c>
      <c r="G31" s="295">
        <v>626.27</v>
      </c>
      <c r="H31" s="241">
        <f t="shared" si="9"/>
        <v>804.51</v>
      </c>
      <c r="I31" s="241">
        <f t="shared" si="2"/>
        <v>766.99</v>
      </c>
      <c r="J31" s="355">
        <f t="shared" si="10"/>
        <v>2011.27</v>
      </c>
      <c r="K31" s="363">
        <f>TRUNC(E31*I31,2)</f>
        <v>1917.47</v>
      </c>
      <c r="L31" s="358">
        <f t="shared" si="8"/>
        <v>2.9619749087396808E-3</v>
      </c>
    </row>
    <row r="32" spans="1:18" s="2" customFormat="1" ht="63">
      <c r="A32" s="245" t="s">
        <v>309</v>
      </c>
      <c r="B32" s="236" t="s">
        <v>303</v>
      </c>
      <c r="C32" s="271" t="s">
        <v>302</v>
      </c>
      <c r="D32" s="249" t="s">
        <v>4</v>
      </c>
      <c r="E32" s="252">
        <f>'MEMÓRIA CALC 2'!I30</f>
        <v>2.5</v>
      </c>
      <c r="F32" s="295">
        <v>520.27</v>
      </c>
      <c r="G32" s="295">
        <v>549.72</v>
      </c>
      <c r="H32" s="241">
        <f t="shared" si="9"/>
        <v>670.21</v>
      </c>
      <c r="I32" s="241">
        <f t="shared" si="2"/>
        <v>673.24</v>
      </c>
      <c r="J32" s="355">
        <f t="shared" si="10"/>
        <v>1675.52</v>
      </c>
      <c r="K32" s="363">
        <f>TRUNC(E32*I32,2)</f>
        <v>1683.1</v>
      </c>
      <c r="L32" s="358">
        <f t="shared" si="8"/>
        <v>2.4675196264507052E-3</v>
      </c>
    </row>
    <row r="33" spans="1:18" ht="15.75">
      <c r="A33" s="232">
        <v>5</v>
      </c>
      <c r="B33" s="257"/>
      <c r="C33" s="255" t="s">
        <v>5</v>
      </c>
      <c r="D33" s="256"/>
      <c r="E33" s="256"/>
      <c r="F33" s="296"/>
      <c r="G33" s="296"/>
      <c r="H33" s="235"/>
      <c r="I33" s="260"/>
      <c r="J33" s="294">
        <f>SUM(J34:J35)</f>
        <v>1683.5</v>
      </c>
      <c r="K33" s="362">
        <f>SUM(K34:K35)</f>
        <v>1686.95</v>
      </c>
      <c r="L33" s="358">
        <f t="shared" si="8"/>
        <v>2.4792716834951311E-3</v>
      </c>
      <c r="M33" s="7"/>
      <c r="N33" s="7"/>
      <c r="O33" s="7"/>
      <c r="P33" s="7"/>
      <c r="Q33" s="7"/>
      <c r="R33" s="7"/>
    </row>
    <row r="34" spans="1:18" s="2" customFormat="1" ht="47.25">
      <c r="A34" s="365" t="s">
        <v>119</v>
      </c>
      <c r="B34" s="366" t="s">
        <v>311</v>
      </c>
      <c r="C34" s="283" t="s">
        <v>310</v>
      </c>
      <c r="D34" s="338" t="s">
        <v>3</v>
      </c>
      <c r="E34" s="367">
        <f>'MEMÓRIA CALC 2'!I32</f>
        <v>25</v>
      </c>
      <c r="F34" s="299">
        <v>35.979999999999997</v>
      </c>
      <c r="G34" s="299">
        <v>37.26</v>
      </c>
      <c r="H34" s="241">
        <f>TRUNC(F34*(1+$J$7),2)</f>
        <v>46.34</v>
      </c>
      <c r="I34" s="241">
        <f t="shared" si="2"/>
        <v>45.63</v>
      </c>
      <c r="J34" s="355">
        <f>TRUNC(E34*H34,2)</f>
        <v>1158.5</v>
      </c>
      <c r="K34" s="363">
        <f>TRUNC(E34*I34,2)</f>
        <v>1140.75</v>
      </c>
      <c r="L34" s="358">
        <f t="shared" si="8"/>
        <v>1.7061100358355269E-3</v>
      </c>
    </row>
    <row r="35" spans="1:18" s="2" customFormat="1" ht="31.5">
      <c r="A35" s="370" t="s">
        <v>464</v>
      </c>
      <c r="B35" s="258" t="s">
        <v>466</v>
      </c>
      <c r="C35" s="238" t="s">
        <v>465</v>
      </c>
      <c r="D35" s="237" t="s">
        <v>8</v>
      </c>
      <c r="E35" s="371">
        <v>20</v>
      </c>
      <c r="F35" s="278">
        <v>20.38</v>
      </c>
      <c r="G35" s="278">
        <v>22.3</v>
      </c>
      <c r="H35" s="266">
        <f>TRUNC(F35*(1+$J$7),2)</f>
        <v>26.25</v>
      </c>
      <c r="I35" s="241">
        <f t="shared" ref="I35" si="12">TRUNC(G35*(1+$H$7),2)</f>
        <v>27.31</v>
      </c>
      <c r="J35" s="355">
        <f>TRUNC(E35*H35,2)</f>
        <v>525</v>
      </c>
      <c r="K35" s="363">
        <f>TRUNC(E35*I35,2)</f>
        <v>546.20000000000005</v>
      </c>
      <c r="L35" s="358">
        <f t="shared" si="8"/>
        <v>7.731616476596043E-4</v>
      </c>
    </row>
    <row r="36" spans="1:18" ht="15.75">
      <c r="A36" s="265">
        <v>6</v>
      </c>
      <c r="B36" s="265"/>
      <c r="C36" s="244" t="s">
        <v>6</v>
      </c>
      <c r="D36" s="368"/>
      <c r="E36" s="368"/>
      <c r="F36" s="369"/>
      <c r="G36" s="369"/>
      <c r="H36" s="233"/>
      <c r="I36" s="394"/>
      <c r="J36" s="395">
        <f>SUM(J37:J62)</f>
        <v>474181.64000000007</v>
      </c>
      <c r="K36" s="395">
        <f>SUM(K37:K62)</f>
        <v>454169.30999999994</v>
      </c>
      <c r="L36" s="358">
        <f t="shared" si="8"/>
        <v>0.69832201537587313</v>
      </c>
      <c r="M36" s="7"/>
      <c r="N36" s="7"/>
      <c r="O36" s="7"/>
      <c r="P36" s="7"/>
      <c r="Q36" s="7"/>
      <c r="R36" s="7"/>
    </row>
    <row r="37" spans="1:18" s="2" customFormat="1" ht="31.5">
      <c r="A37" s="245" t="s">
        <v>12</v>
      </c>
      <c r="B37" s="236" t="s">
        <v>398</v>
      </c>
      <c r="C37" s="238" t="s">
        <v>377</v>
      </c>
      <c r="D37" s="249" t="s">
        <v>148</v>
      </c>
      <c r="E37" s="393">
        <f>1012+20+36-66-41-40-12-34-31.6</f>
        <v>843.4</v>
      </c>
      <c r="F37" s="278">
        <v>114.52</v>
      </c>
      <c r="G37" s="278">
        <v>115.16</v>
      </c>
      <c r="H37" s="278">
        <f>TRUNC(F37*(1+$J$7),2)</f>
        <v>147.52000000000001</v>
      </c>
      <c r="I37" s="278">
        <f t="shared" si="2"/>
        <v>141.03</v>
      </c>
      <c r="J37" s="363">
        <f>TRUNC(E37*H37,2)</f>
        <v>124418.36</v>
      </c>
      <c r="K37" s="363">
        <f>TRUNC(E37*I37,2)</f>
        <v>118944.7</v>
      </c>
      <c r="L37" s="358">
        <f t="shared" si="8"/>
        <v>0.18322953184134438</v>
      </c>
    </row>
    <row r="38" spans="1:18" s="2" customFormat="1" ht="31.5">
      <c r="A38" s="245" t="s">
        <v>13</v>
      </c>
      <c r="B38" s="236">
        <v>96985</v>
      </c>
      <c r="C38" s="238" t="s">
        <v>378</v>
      </c>
      <c r="D38" s="249" t="s">
        <v>379</v>
      </c>
      <c r="E38" s="393">
        <f>200+4+6+6-26-4</f>
        <v>186</v>
      </c>
      <c r="F38" s="278">
        <v>76.099999999999994</v>
      </c>
      <c r="G38" s="278">
        <v>77.349999999999994</v>
      </c>
      <c r="H38" s="278">
        <f t="shared" ref="H38:H60" si="13">TRUNC(F38*(1+$J$7),2)</f>
        <v>98.03</v>
      </c>
      <c r="I38" s="278">
        <f t="shared" si="2"/>
        <v>94.73</v>
      </c>
      <c r="J38" s="363">
        <f t="shared" ref="J38:J60" si="14">TRUNC(E38*H38,2)</f>
        <v>18233.580000000002</v>
      </c>
      <c r="K38" s="363">
        <f t="shared" ref="K38:K60" si="15">TRUNC(E38*I38,2)</f>
        <v>17619.78</v>
      </c>
      <c r="L38" s="358">
        <f t="shared" si="8"/>
        <v>2.6852390010539445E-2</v>
      </c>
    </row>
    <row r="39" spans="1:18" s="2" customFormat="1" ht="31.5">
      <c r="A39" s="245" t="s">
        <v>14</v>
      </c>
      <c r="B39" s="236" t="s">
        <v>399</v>
      </c>
      <c r="C39" s="238" t="s">
        <v>380</v>
      </c>
      <c r="D39" s="249" t="s">
        <v>379</v>
      </c>
      <c r="E39" s="393">
        <f>120+80-26</f>
        <v>174</v>
      </c>
      <c r="F39" s="278">
        <v>47.88</v>
      </c>
      <c r="G39" s="278">
        <f>F39</f>
        <v>47.88</v>
      </c>
      <c r="H39" s="278">
        <f t="shared" si="13"/>
        <v>61.67</v>
      </c>
      <c r="I39" s="278">
        <f t="shared" si="2"/>
        <v>58.63</v>
      </c>
      <c r="J39" s="363">
        <f t="shared" si="14"/>
        <v>10730.58</v>
      </c>
      <c r="K39" s="363">
        <f t="shared" si="15"/>
        <v>10201.620000000001</v>
      </c>
      <c r="L39" s="358">
        <f t="shared" si="8"/>
        <v>1.5802805548844185E-2</v>
      </c>
    </row>
    <row r="40" spans="1:18" s="2" customFormat="1" ht="31.5">
      <c r="A40" s="245" t="s">
        <v>15</v>
      </c>
      <c r="B40" s="236" t="s">
        <v>400</v>
      </c>
      <c r="C40" s="238" t="s">
        <v>381</v>
      </c>
      <c r="D40" s="249" t="s">
        <v>379</v>
      </c>
      <c r="E40" s="393">
        <f>120+6-26</f>
        <v>100</v>
      </c>
      <c r="F40" s="278">
        <v>54.29</v>
      </c>
      <c r="G40" s="278">
        <f>F40</f>
        <v>54.29</v>
      </c>
      <c r="H40" s="278">
        <f t="shared" si="13"/>
        <v>69.930000000000007</v>
      </c>
      <c r="I40" s="278">
        <f t="shared" si="2"/>
        <v>66.48</v>
      </c>
      <c r="J40" s="363">
        <f t="shared" si="14"/>
        <v>6993</v>
      </c>
      <c r="K40" s="363">
        <f t="shared" si="15"/>
        <v>6648</v>
      </c>
      <c r="L40" s="358">
        <f t="shared" si="8"/>
        <v>1.0298513146825929E-2</v>
      </c>
    </row>
    <row r="41" spans="1:18" s="2" customFormat="1" ht="31.5">
      <c r="A41" s="245" t="s">
        <v>414</v>
      </c>
      <c r="B41" s="236" t="s">
        <v>401</v>
      </c>
      <c r="C41" s="238" t="s">
        <v>382</v>
      </c>
      <c r="D41" s="249" t="s">
        <v>383</v>
      </c>
      <c r="E41" s="393">
        <f>120+10+6-26</f>
        <v>110</v>
      </c>
      <c r="F41" s="278">
        <v>93.99</v>
      </c>
      <c r="G41" s="278">
        <v>94.6</v>
      </c>
      <c r="H41" s="278">
        <f t="shared" si="13"/>
        <v>121.07</v>
      </c>
      <c r="I41" s="278">
        <f t="shared" si="2"/>
        <v>115.85</v>
      </c>
      <c r="J41" s="363">
        <f t="shared" si="14"/>
        <v>13317.7</v>
      </c>
      <c r="K41" s="363">
        <f t="shared" si="15"/>
        <v>12743.5</v>
      </c>
      <c r="L41" s="358">
        <f t="shared" si="8"/>
        <v>1.9612828333402499E-2</v>
      </c>
    </row>
    <row r="42" spans="1:18" s="2" customFormat="1" ht="63">
      <c r="A42" s="245" t="s">
        <v>415</v>
      </c>
      <c r="B42" s="236" t="s">
        <v>481</v>
      </c>
      <c r="C42" s="238" t="s">
        <v>482</v>
      </c>
      <c r="D42" s="249" t="s">
        <v>8</v>
      </c>
      <c r="E42" s="393">
        <f>80*3</f>
        <v>240</v>
      </c>
      <c r="F42" s="278">
        <v>11.48</v>
      </c>
      <c r="G42" s="278">
        <v>12.35</v>
      </c>
      <c r="H42" s="278">
        <f t="shared" ref="H42" si="16">TRUNC(F42*(1+$J$7),2)</f>
        <v>14.78</v>
      </c>
      <c r="I42" s="278">
        <f t="shared" ref="I42" si="17">TRUNC(G42*(1+$H$7),2)</f>
        <v>15.12</v>
      </c>
      <c r="J42" s="363">
        <f t="shared" ref="J42" si="18">TRUNC(E42*H42,2)</f>
        <v>3547.2</v>
      </c>
      <c r="K42" s="363">
        <f t="shared" ref="K42" si="19">TRUNC(E42*I42,2)</f>
        <v>3628.8</v>
      </c>
      <c r="L42" s="358">
        <f t="shared" si="8"/>
        <v>5.2239218982440914E-3</v>
      </c>
    </row>
    <row r="43" spans="1:18" s="2" customFormat="1" ht="31.5">
      <c r="A43" s="245" t="s">
        <v>416</v>
      </c>
      <c r="B43" s="236" t="s">
        <v>402</v>
      </c>
      <c r="C43" s="238" t="s">
        <v>384</v>
      </c>
      <c r="D43" s="249" t="s">
        <v>383</v>
      </c>
      <c r="E43" s="393">
        <f>28-4</f>
        <v>24</v>
      </c>
      <c r="F43" s="278">
        <v>347.03</v>
      </c>
      <c r="G43" s="278">
        <v>348.23</v>
      </c>
      <c r="H43" s="278">
        <f t="shared" si="13"/>
        <v>447.04</v>
      </c>
      <c r="I43" s="278">
        <f t="shared" si="2"/>
        <v>426.47</v>
      </c>
      <c r="J43" s="363">
        <f t="shared" si="14"/>
        <v>10728.96</v>
      </c>
      <c r="K43" s="363">
        <f t="shared" si="15"/>
        <v>10235.280000000001</v>
      </c>
      <c r="L43" s="358">
        <f t="shared" si="8"/>
        <v>1.5800419792902833E-2</v>
      </c>
    </row>
    <row r="44" spans="1:18" s="2" customFormat="1" ht="31.5">
      <c r="A44" s="245" t="s">
        <v>417</v>
      </c>
      <c r="B44" s="236" t="s">
        <v>403</v>
      </c>
      <c r="C44" s="238" t="s">
        <v>385</v>
      </c>
      <c r="D44" s="249" t="s">
        <v>386</v>
      </c>
      <c r="E44" s="393">
        <v>56</v>
      </c>
      <c r="F44" s="278">
        <v>40.39</v>
      </c>
      <c r="G44" s="278">
        <v>41</v>
      </c>
      <c r="H44" s="278">
        <f t="shared" si="13"/>
        <v>52.03</v>
      </c>
      <c r="I44" s="278">
        <f t="shared" si="2"/>
        <v>50.21</v>
      </c>
      <c r="J44" s="363">
        <f t="shared" si="14"/>
        <v>2913.68</v>
      </c>
      <c r="K44" s="363">
        <f t="shared" si="15"/>
        <v>2811.76</v>
      </c>
      <c r="L44" s="358">
        <f t="shared" si="8"/>
        <v>4.2909440562911155E-3</v>
      </c>
    </row>
    <row r="45" spans="1:18" s="2" customFormat="1" ht="31.5">
      <c r="A45" s="245" t="s">
        <v>418</v>
      </c>
      <c r="B45" s="236" t="s">
        <v>404</v>
      </c>
      <c r="C45" s="238" t="s">
        <v>387</v>
      </c>
      <c r="D45" s="249" t="s">
        <v>383</v>
      </c>
      <c r="E45" s="393">
        <f>204-20-8</f>
        <v>176</v>
      </c>
      <c r="F45" s="278">
        <v>81.599999999999994</v>
      </c>
      <c r="G45" s="278">
        <v>82.8</v>
      </c>
      <c r="H45" s="278">
        <f t="shared" si="13"/>
        <v>105.11</v>
      </c>
      <c r="I45" s="278">
        <f t="shared" si="2"/>
        <v>101.4</v>
      </c>
      <c r="J45" s="363">
        <f t="shared" si="14"/>
        <v>18499.36</v>
      </c>
      <c r="K45" s="363">
        <f t="shared" si="15"/>
        <v>17846.400000000001</v>
      </c>
      <c r="L45" s="358">
        <f t="shared" si="8"/>
        <v>2.7243801253806054E-2</v>
      </c>
    </row>
    <row r="46" spans="1:18" s="2" customFormat="1" ht="31.5">
      <c r="A46" s="245" t="s">
        <v>419</v>
      </c>
      <c r="B46" s="236" t="s">
        <v>405</v>
      </c>
      <c r="C46" s="238" t="s">
        <v>388</v>
      </c>
      <c r="D46" s="249" t="s">
        <v>383</v>
      </c>
      <c r="E46" s="393">
        <v>28</v>
      </c>
      <c r="F46" s="278">
        <v>107.69</v>
      </c>
      <c r="G46" s="278">
        <v>108.89</v>
      </c>
      <c r="H46" s="278">
        <f t="shared" si="13"/>
        <v>138.72</v>
      </c>
      <c r="I46" s="278">
        <f t="shared" si="2"/>
        <v>133.35</v>
      </c>
      <c r="J46" s="363">
        <f t="shared" si="14"/>
        <v>3884.16</v>
      </c>
      <c r="K46" s="363">
        <f t="shared" si="15"/>
        <v>3733.8</v>
      </c>
      <c r="L46" s="358">
        <f t="shared" si="8"/>
        <v>5.7201591340448159E-3</v>
      </c>
    </row>
    <row r="47" spans="1:18" s="2" customFormat="1" ht="47.25">
      <c r="A47" s="245" t="s">
        <v>420</v>
      </c>
      <c r="B47" s="236" t="s">
        <v>537</v>
      </c>
      <c r="C47" s="238" t="s">
        <v>536</v>
      </c>
      <c r="D47" s="249" t="s">
        <v>71</v>
      </c>
      <c r="E47" s="393">
        <v>31</v>
      </c>
      <c r="F47" s="278">
        <v>96.1</v>
      </c>
      <c r="G47" s="278">
        <v>99.76</v>
      </c>
      <c r="H47" s="278">
        <f t="shared" si="13"/>
        <v>123.79</v>
      </c>
      <c r="I47" s="278">
        <f t="shared" si="2"/>
        <v>122.17</v>
      </c>
      <c r="J47" s="363">
        <f t="shared" si="14"/>
        <v>3837.49</v>
      </c>
      <c r="K47" s="363">
        <f t="shared" si="15"/>
        <v>3787.27</v>
      </c>
      <c r="L47" s="358">
        <f t="shared" si="8"/>
        <v>5.6514287452900085E-3</v>
      </c>
    </row>
    <row r="48" spans="1:18" s="2" customFormat="1" ht="78.75">
      <c r="A48" s="245" t="s">
        <v>421</v>
      </c>
      <c r="B48" s="236" t="s">
        <v>483</v>
      </c>
      <c r="C48" s="238" t="s">
        <v>484</v>
      </c>
      <c r="D48" s="249" t="s">
        <v>485</v>
      </c>
      <c r="E48" s="393">
        <v>15</v>
      </c>
      <c r="F48" s="278">
        <v>603.70000000000005</v>
      </c>
      <c r="G48" s="278">
        <v>607.25</v>
      </c>
      <c r="H48" s="278">
        <f t="shared" ref="H48" si="20">TRUNC(F48*(1+$J$7),2)</f>
        <v>777.68</v>
      </c>
      <c r="I48" s="278">
        <f t="shared" ref="I48" si="21">TRUNC(G48*(1+$H$7),2)</f>
        <v>743.69</v>
      </c>
      <c r="J48" s="363">
        <f t="shared" ref="J48" si="22">TRUNC(E48*H48,2)</f>
        <v>11665.2</v>
      </c>
      <c r="K48" s="363">
        <f t="shared" ref="K48" si="23">TRUNC(E48*I48,2)</f>
        <v>11155.35</v>
      </c>
      <c r="L48" s="358">
        <f t="shared" si="8"/>
        <v>1.7179210004340601E-2</v>
      </c>
    </row>
    <row r="49" spans="1:18" s="2" customFormat="1" ht="31.5">
      <c r="A49" s="245" t="s">
        <v>422</v>
      </c>
      <c r="B49" s="236" t="s">
        <v>389</v>
      </c>
      <c r="C49" s="238" t="s">
        <v>390</v>
      </c>
      <c r="D49" s="249" t="s">
        <v>379</v>
      </c>
      <c r="E49" s="393">
        <f>21+2+3+2-8</f>
        <v>20</v>
      </c>
      <c r="F49" s="278">
        <v>150.34</v>
      </c>
      <c r="G49" s="278">
        <v>150.97</v>
      </c>
      <c r="H49" s="278">
        <f t="shared" si="13"/>
        <v>193.66</v>
      </c>
      <c r="I49" s="278">
        <f t="shared" si="2"/>
        <v>184.89</v>
      </c>
      <c r="J49" s="363">
        <f t="shared" si="14"/>
        <v>3873.2</v>
      </c>
      <c r="K49" s="363">
        <f t="shared" si="15"/>
        <v>3697.8</v>
      </c>
      <c r="L49" s="358">
        <f t="shared" si="8"/>
        <v>5.7040184642193886E-3</v>
      </c>
    </row>
    <row r="50" spans="1:18" s="2" customFormat="1" ht="31.5">
      <c r="A50" s="245" t="s">
        <v>423</v>
      </c>
      <c r="B50" s="236" t="s">
        <v>406</v>
      </c>
      <c r="C50" s="238" t="s">
        <v>391</v>
      </c>
      <c r="D50" s="249" t="s">
        <v>383</v>
      </c>
      <c r="E50" s="393">
        <f>21+2+3+2+2-12</f>
        <v>18</v>
      </c>
      <c r="F50" s="278">
        <v>2522.17</v>
      </c>
      <c r="G50" s="278">
        <v>2538.61</v>
      </c>
      <c r="H50" s="278">
        <f t="shared" si="13"/>
        <v>3249.05</v>
      </c>
      <c r="I50" s="278">
        <f t="shared" si="2"/>
        <v>3109.03</v>
      </c>
      <c r="J50" s="363">
        <f t="shared" si="14"/>
        <v>58482.9</v>
      </c>
      <c r="K50" s="363">
        <f t="shared" si="15"/>
        <v>55962.54</v>
      </c>
      <c r="L50" s="358">
        <f t="shared" si="8"/>
        <v>8.6127114902689275E-2</v>
      </c>
    </row>
    <row r="51" spans="1:18" s="2" customFormat="1" ht="15.75">
      <c r="A51" s="245" t="s">
        <v>424</v>
      </c>
      <c r="B51" s="236" t="s">
        <v>407</v>
      </c>
      <c r="C51" s="238" t="s">
        <v>392</v>
      </c>
      <c r="D51" s="249" t="s">
        <v>148</v>
      </c>
      <c r="E51" s="393">
        <v>40</v>
      </c>
      <c r="F51" s="278">
        <v>49.89</v>
      </c>
      <c r="G51" s="278">
        <v>43.33</v>
      </c>
      <c r="H51" s="278">
        <f t="shared" si="13"/>
        <v>64.260000000000005</v>
      </c>
      <c r="I51" s="278">
        <f t="shared" si="2"/>
        <v>53.06</v>
      </c>
      <c r="J51" s="363">
        <f t="shared" si="14"/>
        <v>2570.4</v>
      </c>
      <c r="K51" s="363">
        <f t="shared" si="15"/>
        <v>2122.4</v>
      </c>
      <c r="L51" s="358">
        <f t="shared" si="8"/>
        <v>3.7853994269414228E-3</v>
      </c>
    </row>
    <row r="52" spans="1:18" s="2" customFormat="1" ht="47.25">
      <c r="A52" s="245" t="s">
        <v>425</v>
      </c>
      <c r="B52" s="236" t="s">
        <v>408</v>
      </c>
      <c r="C52" s="238" t="s">
        <v>393</v>
      </c>
      <c r="D52" s="249" t="s">
        <v>383</v>
      </c>
      <c r="E52" s="393">
        <f>21-1</f>
        <v>20</v>
      </c>
      <c r="F52" s="278">
        <v>1044.46</v>
      </c>
      <c r="G52" s="278">
        <v>1066.52</v>
      </c>
      <c r="H52" s="278">
        <f t="shared" si="13"/>
        <v>1345.47</v>
      </c>
      <c r="I52" s="278">
        <f t="shared" si="2"/>
        <v>1306.1600000000001</v>
      </c>
      <c r="J52" s="363">
        <f t="shared" si="14"/>
        <v>26909.4</v>
      </c>
      <c r="K52" s="363">
        <f t="shared" si="15"/>
        <v>26123.200000000001</v>
      </c>
      <c r="L52" s="358">
        <f t="shared" si="8"/>
        <v>3.9629173412440682E-2</v>
      </c>
    </row>
    <row r="53" spans="1:18" s="2" customFormat="1" ht="31.5">
      <c r="A53" s="245" t="s">
        <v>426</v>
      </c>
      <c r="B53" s="236" t="s">
        <v>409</v>
      </c>
      <c r="C53" s="238" t="s">
        <v>394</v>
      </c>
      <c r="D53" s="249" t="s">
        <v>148</v>
      </c>
      <c r="E53" s="393">
        <f>918+20+160-100-31.6</f>
        <v>966.4</v>
      </c>
      <c r="F53" s="278">
        <v>106.57</v>
      </c>
      <c r="G53" s="278">
        <v>107.05</v>
      </c>
      <c r="H53" s="278">
        <f t="shared" si="13"/>
        <v>137.28</v>
      </c>
      <c r="I53" s="278">
        <f t="shared" si="2"/>
        <v>131.1</v>
      </c>
      <c r="J53" s="363">
        <f t="shared" si="14"/>
        <v>132667.39000000001</v>
      </c>
      <c r="K53" s="363">
        <f t="shared" si="15"/>
        <v>126695.03999999999</v>
      </c>
      <c r="L53" s="358">
        <f t="shared" si="8"/>
        <v>0.19537778636780823</v>
      </c>
    </row>
    <row r="54" spans="1:18" s="2" customFormat="1" ht="30" customHeight="1">
      <c r="A54" s="245" t="s">
        <v>427</v>
      </c>
      <c r="B54" s="365" t="s">
        <v>410</v>
      </c>
      <c r="C54" s="283" t="s">
        <v>395</v>
      </c>
      <c r="D54" s="338" t="s">
        <v>383</v>
      </c>
      <c r="E54" s="415">
        <f>200+52</f>
        <v>252</v>
      </c>
      <c r="F54" s="389">
        <v>12.24</v>
      </c>
      <c r="G54" s="389">
        <v>12.64</v>
      </c>
      <c r="H54" s="389">
        <f t="shared" si="13"/>
        <v>15.76</v>
      </c>
      <c r="I54" s="389">
        <f t="shared" si="2"/>
        <v>15.48</v>
      </c>
      <c r="J54" s="391">
        <f t="shared" si="14"/>
        <v>3971.52</v>
      </c>
      <c r="K54" s="391">
        <f t="shared" si="15"/>
        <v>3900.96</v>
      </c>
      <c r="L54" s="358">
        <f t="shared" si="8"/>
        <v>5.8488132322153741E-3</v>
      </c>
    </row>
    <row r="55" spans="1:18" s="2" customFormat="1" ht="31.5">
      <c r="A55" s="245" t="s">
        <v>486</v>
      </c>
      <c r="B55" s="370" t="s">
        <v>411</v>
      </c>
      <c r="C55" s="238" t="s">
        <v>396</v>
      </c>
      <c r="D55" s="237" t="s">
        <v>379</v>
      </c>
      <c r="E55" s="392">
        <f>80+5</f>
        <v>85</v>
      </c>
      <c r="F55" s="278">
        <v>23.51</v>
      </c>
      <c r="G55" s="278">
        <v>25.11</v>
      </c>
      <c r="H55" s="278">
        <f t="shared" si="13"/>
        <v>30.28</v>
      </c>
      <c r="I55" s="278">
        <f t="shared" si="2"/>
        <v>30.75</v>
      </c>
      <c r="J55" s="363">
        <f t="shared" si="14"/>
        <v>2573.8000000000002</v>
      </c>
      <c r="K55" s="363">
        <f t="shared" si="15"/>
        <v>2613.75</v>
      </c>
      <c r="L55" s="358">
        <f t="shared" si="8"/>
        <v>3.7904065690405517E-3</v>
      </c>
    </row>
    <row r="56" spans="1:18" s="2" customFormat="1" ht="31.5">
      <c r="A56" s="245" t="s">
        <v>507</v>
      </c>
      <c r="B56" s="370" t="s">
        <v>412</v>
      </c>
      <c r="C56" s="238" t="s">
        <v>397</v>
      </c>
      <c r="D56" s="237" t="s">
        <v>383</v>
      </c>
      <c r="E56" s="392">
        <f>80+5</f>
        <v>85</v>
      </c>
      <c r="F56" s="278">
        <v>46.76</v>
      </c>
      <c r="G56" s="278">
        <v>47.16</v>
      </c>
      <c r="H56" s="278">
        <f t="shared" si="13"/>
        <v>60.23</v>
      </c>
      <c r="I56" s="278">
        <f t="shared" si="2"/>
        <v>57.75</v>
      </c>
      <c r="J56" s="363">
        <f t="shared" si="14"/>
        <v>5119.55</v>
      </c>
      <c r="K56" s="363">
        <f t="shared" si="15"/>
        <v>4908.75</v>
      </c>
      <c r="L56" s="358">
        <f t="shared" si="8"/>
        <v>7.5395042157632899E-3</v>
      </c>
    </row>
    <row r="57" spans="1:18" s="2" customFormat="1" ht="15.75">
      <c r="A57" s="245" t="s">
        <v>508</v>
      </c>
      <c r="B57" s="370" t="s">
        <v>510</v>
      </c>
      <c r="C57" s="238" t="s">
        <v>509</v>
      </c>
      <c r="D57" s="237" t="s">
        <v>71</v>
      </c>
      <c r="E57" s="392">
        <v>50</v>
      </c>
      <c r="F57" s="278">
        <v>15.6</v>
      </c>
      <c r="G57" s="278">
        <v>15.6</v>
      </c>
      <c r="H57" s="278">
        <f t="shared" si="13"/>
        <v>20.09</v>
      </c>
      <c r="I57" s="278">
        <f t="shared" si="2"/>
        <v>19.100000000000001</v>
      </c>
      <c r="J57" s="363">
        <f t="shared" si="14"/>
        <v>1004.5</v>
      </c>
      <c r="K57" s="363">
        <f t="shared" si="15"/>
        <v>955</v>
      </c>
      <c r="L57" s="358">
        <f t="shared" si="8"/>
        <v>1.4793159525220429E-3</v>
      </c>
    </row>
    <row r="58" spans="1:18" s="2" customFormat="1" ht="15.75">
      <c r="A58" s="245" t="s">
        <v>517</v>
      </c>
      <c r="B58" s="370" t="s">
        <v>512</v>
      </c>
      <c r="C58" s="238" t="s">
        <v>511</v>
      </c>
      <c r="D58" s="237" t="s">
        <v>71</v>
      </c>
      <c r="E58" s="392">
        <v>50</v>
      </c>
      <c r="F58" s="278">
        <v>11</v>
      </c>
      <c r="G58" s="278">
        <v>11</v>
      </c>
      <c r="H58" s="278">
        <f t="shared" si="13"/>
        <v>14.17</v>
      </c>
      <c r="I58" s="278">
        <f t="shared" si="2"/>
        <v>13.47</v>
      </c>
      <c r="J58" s="363">
        <f t="shared" si="14"/>
        <v>708.5</v>
      </c>
      <c r="K58" s="363">
        <f t="shared" si="15"/>
        <v>673.5</v>
      </c>
      <c r="L58" s="358">
        <f t="shared" si="8"/>
        <v>1.0434000521272946E-3</v>
      </c>
    </row>
    <row r="59" spans="1:18" s="2" customFormat="1" ht="15.75">
      <c r="A59" s="245" t="s">
        <v>518</v>
      </c>
      <c r="B59" s="370" t="s">
        <v>514</v>
      </c>
      <c r="C59" s="238" t="s">
        <v>513</v>
      </c>
      <c r="D59" s="237" t="s">
        <v>71</v>
      </c>
      <c r="E59" s="392">
        <v>20</v>
      </c>
      <c r="F59" s="278">
        <v>11</v>
      </c>
      <c r="G59" s="278">
        <v>11</v>
      </c>
      <c r="H59" s="278">
        <f t="shared" si="13"/>
        <v>14.17</v>
      </c>
      <c r="I59" s="278">
        <f t="shared" si="2"/>
        <v>13.47</v>
      </c>
      <c r="J59" s="363">
        <f t="shared" si="14"/>
        <v>283.39999999999998</v>
      </c>
      <c r="K59" s="363">
        <f t="shared" si="15"/>
        <v>269.39999999999998</v>
      </c>
      <c r="L59" s="358">
        <f t="shared" si="8"/>
        <v>4.1736002085091781E-4</v>
      </c>
    </row>
    <row r="60" spans="1:18" s="2" customFormat="1" ht="31.5">
      <c r="A60" s="245" t="s">
        <v>519</v>
      </c>
      <c r="B60" s="370" t="s">
        <v>516</v>
      </c>
      <c r="C60" s="238" t="s">
        <v>515</v>
      </c>
      <c r="D60" s="237" t="s">
        <v>71</v>
      </c>
      <c r="E60" s="392">
        <v>10</v>
      </c>
      <c r="F60" s="278">
        <v>390</v>
      </c>
      <c r="G60" s="278">
        <v>390</v>
      </c>
      <c r="H60" s="278">
        <f t="shared" si="13"/>
        <v>502.39</v>
      </c>
      <c r="I60" s="278">
        <f t="shared" si="2"/>
        <v>477.63</v>
      </c>
      <c r="J60" s="363">
        <f t="shared" si="14"/>
        <v>5023.8999999999996</v>
      </c>
      <c r="K60" s="363">
        <f t="shared" si="15"/>
        <v>4776.3</v>
      </c>
      <c r="L60" s="358">
        <f t="shared" si="8"/>
        <v>7.3986415270039727E-3</v>
      </c>
    </row>
    <row r="61" spans="1:18" s="2" customFormat="1" ht="15.75">
      <c r="A61" s="245" t="s">
        <v>533</v>
      </c>
      <c r="B61" s="370" t="s">
        <v>78</v>
      </c>
      <c r="C61" s="238" t="str">
        <f>'COMPOSIÇÕES (2)'!B29</f>
        <v>Elo fusível Distribuição 15kV 40k 500mm</v>
      </c>
      <c r="D61" s="237" t="s">
        <v>71</v>
      </c>
      <c r="E61" s="392">
        <v>50</v>
      </c>
      <c r="F61" s="278">
        <f>'COMPOSIÇÕES (2)'!I33</f>
        <v>18.466666666666669</v>
      </c>
      <c r="G61" s="278">
        <f>'COMPOSIÇÕES (2)'!I33</f>
        <v>18.466666666666669</v>
      </c>
      <c r="H61" s="278">
        <f t="shared" ref="H61" si="24">TRUNC(F61*(1+$J$7),2)</f>
        <v>23.78</v>
      </c>
      <c r="I61" s="278">
        <f t="shared" ref="I61" si="25">TRUNC(G61*(1+$H$7),2)</f>
        <v>22.61</v>
      </c>
      <c r="J61" s="363">
        <f t="shared" ref="J61" si="26">TRUNC(E61*H61,2)</f>
        <v>1189</v>
      </c>
      <c r="K61" s="363">
        <f t="shared" ref="K61" si="27">TRUNC(E61*I61,2)</f>
        <v>1130.5</v>
      </c>
      <c r="L61" s="358">
        <f t="shared" si="8"/>
        <v>1.751027045842418E-3</v>
      </c>
    </row>
    <row r="62" spans="1:18" s="2" customFormat="1" ht="31.5">
      <c r="A62" s="245" t="s">
        <v>538</v>
      </c>
      <c r="B62" s="370" t="s">
        <v>532</v>
      </c>
      <c r="C62" s="238" t="s">
        <v>531</v>
      </c>
      <c r="D62" s="237" t="s">
        <v>71</v>
      </c>
      <c r="E62" s="392">
        <v>3</v>
      </c>
      <c r="F62" s="278">
        <v>267.8</v>
      </c>
      <c r="G62" s="278">
        <v>267.8</v>
      </c>
      <c r="H62" s="278">
        <f t="shared" ref="H62" si="28">TRUNC(F62*(1+$J$7),2)</f>
        <v>344.97</v>
      </c>
      <c r="I62" s="278">
        <f t="shared" ref="I62" si="29">TRUNC(G62*(1+$H$7),2)</f>
        <v>327.97</v>
      </c>
      <c r="J62" s="363">
        <f t="shared" ref="J62" si="30">TRUNC(E62*H62,2)</f>
        <v>1034.9100000000001</v>
      </c>
      <c r="K62" s="363">
        <f t="shared" ref="K62" si="31">TRUNC(E62*I62,2)</f>
        <v>983.91</v>
      </c>
      <c r="L62" s="358">
        <f t="shared" ref="L62" si="32">J62/$J$75</f>
        <v>1.5241004205321926E-3</v>
      </c>
    </row>
    <row r="63" spans="1:18" ht="15.75">
      <c r="A63" s="259">
        <v>7</v>
      </c>
      <c r="B63" s="373"/>
      <c r="C63" s="420" t="s">
        <v>314</v>
      </c>
      <c r="D63" s="421"/>
      <c r="E63" s="422"/>
      <c r="F63" s="341"/>
      <c r="G63" s="341"/>
      <c r="H63" s="396"/>
      <c r="I63" s="396"/>
      <c r="J63" s="397">
        <f>SUM(J64:J70)</f>
        <v>44680.99</v>
      </c>
      <c r="K63" s="398">
        <f>SUM(K64:K70)</f>
        <v>44358.149999999994</v>
      </c>
      <c r="L63" s="358">
        <f t="shared" si="8"/>
        <v>6.5801195899928194E-2</v>
      </c>
      <c r="M63" s="8"/>
      <c r="N63" s="8"/>
      <c r="O63" s="8"/>
      <c r="P63" s="8"/>
      <c r="Q63" s="8"/>
      <c r="R63" s="8"/>
    </row>
    <row r="64" spans="1:18" s="2" customFormat="1" ht="47.25">
      <c r="A64" s="245" t="s">
        <v>120</v>
      </c>
      <c r="B64" s="245" t="s">
        <v>104</v>
      </c>
      <c r="C64" s="271" t="s">
        <v>105</v>
      </c>
      <c r="D64" s="247" t="s">
        <v>3</v>
      </c>
      <c r="E64" s="240">
        <f>'MEMÓRIA CALC 2'!I62</f>
        <v>22</v>
      </c>
      <c r="F64" s="293">
        <v>35.31</v>
      </c>
      <c r="G64" s="293">
        <v>36.71</v>
      </c>
      <c r="H64" s="241">
        <f t="shared" ref="H64:H70" si="33">TRUNC(F64*(1+$J$7),2)</f>
        <v>45.48</v>
      </c>
      <c r="I64" s="241">
        <f t="shared" si="2"/>
        <v>44.95</v>
      </c>
      <c r="J64" s="355">
        <f t="shared" ref="J64:J70" si="34">TRUNC(E64*H64,2)</f>
        <v>1000.56</v>
      </c>
      <c r="K64" s="363">
        <f t="shared" ref="K64:K69" si="35">TRUNC(E64*I64,2)</f>
        <v>988.9</v>
      </c>
      <c r="L64" s="358">
        <f t="shared" si="8"/>
        <v>1.473513558442464E-3</v>
      </c>
    </row>
    <row r="65" spans="1:18" s="2" customFormat="1" ht="63">
      <c r="A65" s="245" t="s">
        <v>72</v>
      </c>
      <c r="B65" s="245" t="s">
        <v>468</v>
      </c>
      <c r="C65" s="271" t="s">
        <v>467</v>
      </c>
      <c r="D65" s="247" t="s">
        <v>4</v>
      </c>
      <c r="E65" s="240">
        <f>'MEMÓRIA CALC 2'!I63</f>
        <v>9.2973600000000012</v>
      </c>
      <c r="F65" s="293">
        <v>733</v>
      </c>
      <c r="G65" s="293">
        <v>757.19</v>
      </c>
      <c r="H65" s="241">
        <f t="shared" si="33"/>
        <v>944.25</v>
      </c>
      <c r="I65" s="241">
        <f t="shared" si="2"/>
        <v>927.33</v>
      </c>
      <c r="J65" s="355">
        <f t="shared" si="34"/>
        <v>8779.0300000000007</v>
      </c>
      <c r="K65" s="363">
        <f t="shared" si="35"/>
        <v>8621.7199999999993</v>
      </c>
      <c r="L65" s="358">
        <f t="shared" si="8"/>
        <v>1.292877961838685E-2</v>
      </c>
    </row>
    <row r="66" spans="1:18" s="2" customFormat="1" ht="47.25">
      <c r="A66" s="245" t="s">
        <v>428</v>
      </c>
      <c r="B66" s="245" t="s">
        <v>366</v>
      </c>
      <c r="C66" s="271" t="s">
        <v>365</v>
      </c>
      <c r="D66" s="247" t="s">
        <v>3</v>
      </c>
      <c r="E66" s="240">
        <f>'MEMÓRIA CALC 2'!I64</f>
        <v>10.5</v>
      </c>
      <c r="F66" s="293">
        <v>68.78</v>
      </c>
      <c r="G66" s="293">
        <v>69.489999999999995</v>
      </c>
      <c r="H66" s="241">
        <f t="shared" si="33"/>
        <v>88.6</v>
      </c>
      <c r="I66" s="241">
        <f t="shared" si="2"/>
        <v>85.1</v>
      </c>
      <c r="J66" s="355">
        <f t="shared" si="34"/>
        <v>930.3</v>
      </c>
      <c r="K66" s="363">
        <f t="shared" si="35"/>
        <v>893.55</v>
      </c>
      <c r="L66" s="358">
        <f t="shared" si="8"/>
        <v>1.3700424396528186E-3</v>
      </c>
    </row>
    <row r="67" spans="1:18" s="2" customFormat="1" ht="78.75">
      <c r="A67" s="245" t="s">
        <v>429</v>
      </c>
      <c r="B67" s="245" t="s">
        <v>368</v>
      </c>
      <c r="C67" s="271" t="s">
        <v>367</v>
      </c>
      <c r="D67" s="247" t="s">
        <v>3</v>
      </c>
      <c r="E67" s="240">
        <f>'MEMÓRIA CALC 2'!I65</f>
        <v>197.66</v>
      </c>
      <c r="F67" s="293">
        <v>67.02</v>
      </c>
      <c r="G67" s="293">
        <v>71.290000000000006</v>
      </c>
      <c r="H67" s="241">
        <f t="shared" si="33"/>
        <v>86.33</v>
      </c>
      <c r="I67" s="241">
        <f t="shared" si="2"/>
        <v>87.3</v>
      </c>
      <c r="J67" s="355">
        <f t="shared" si="34"/>
        <v>17063.98</v>
      </c>
      <c r="K67" s="363">
        <f t="shared" si="35"/>
        <v>17255.71</v>
      </c>
      <c r="L67" s="358">
        <f t="shared" si="8"/>
        <v>2.5129933128439114E-2</v>
      </c>
    </row>
    <row r="68" spans="1:18" s="2" customFormat="1" ht="47.25">
      <c r="A68" s="245" t="s">
        <v>430</v>
      </c>
      <c r="B68" s="253" t="s">
        <v>375</v>
      </c>
      <c r="C68" s="271" t="s">
        <v>369</v>
      </c>
      <c r="D68" s="247" t="s">
        <v>8</v>
      </c>
      <c r="E68" s="240">
        <f>'MEMÓRIA CALC 2'!I66</f>
        <v>10</v>
      </c>
      <c r="F68" s="293">
        <v>174.25</v>
      </c>
      <c r="G68" s="293">
        <v>175.71</v>
      </c>
      <c r="H68" s="241">
        <f t="shared" si="33"/>
        <v>224.46</v>
      </c>
      <c r="I68" s="241">
        <f t="shared" si="2"/>
        <v>215.19</v>
      </c>
      <c r="J68" s="355">
        <f t="shared" si="34"/>
        <v>2244.6</v>
      </c>
      <c r="K68" s="363">
        <f t="shared" si="35"/>
        <v>2151.9</v>
      </c>
      <c r="L68" s="358">
        <f t="shared" si="8"/>
        <v>3.3055973987366621E-3</v>
      </c>
    </row>
    <row r="69" spans="1:18" s="2" customFormat="1" ht="63">
      <c r="A69" s="245" t="s">
        <v>431</v>
      </c>
      <c r="B69" s="236" t="s">
        <v>376</v>
      </c>
      <c r="C69" s="271" t="s">
        <v>370</v>
      </c>
      <c r="D69" s="249" t="s">
        <v>3</v>
      </c>
      <c r="E69" s="240">
        <f>'MEMÓRIA CALC 2'!I67</f>
        <v>22</v>
      </c>
      <c r="F69" s="293">
        <v>44.59</v>
      </c>
      <c r="G69" s="293">
        <v>45.44</v>
      </c>
      <c r="H69" s="241">
        <f t="shared" si="33"/>
        <v>57.44</v>
      </c>
      <c r="I69" s="241">
        <f t="shared" si="2"/>
        <v>55.65</v>
      </c>
      <c r="J69" s="355">
        <f t="shared" si="34"/>
        <v>1263.68</v>
      </c>
      <c r="K69" s="363">
        <f t="shared" si="35"/>
        <v>1224.3</v>
      </c>
      <c r="L69" s="358">
        <f t="shared" si="8"/>
        <v>1.8610074493609311E-3</v>
      </c>
    </row>
    <row r="70" spans="1:18" s="2" customFormat="1" ht="31.5">
      <c r="A70" s="245" t="s">
        <v>432</v>
      </c>
      <c r="B70" s="236" t="s">
        <v>374</v>
      </c>
      <c r="C70" s="271" t="s">
        <v>373</v>
      </c>
      <c r="D70" s="249" t="s">
        <v>3</v>
      </c>
      <c r="E70" s="240">
        <f>'MEMÓRIA CALC 2'!I68</f>
        <v>109.12</v>
      </c>
      <c r="F70" s="293">
        <v>95.32</v>
      </c>
      <c r="G70" s="293">
        <v>98.94</v>
      </c>
      <c r="H70" s="241">
        <f t="shared" si="33"/>
        <v>122.79</v>
      </c>
      <c r="I70" s="241">
        <f t="shared" si="2"/>
        <v>121.17</v>
      </c>
      <c r="J70" s="355">
        <f t="shared" si="34"/>
        <v>13398.84</v>
      </c>
      <c r="K70" s="363">
        <f>TRUNC(E70*I70,2)</f>
        <v>13222.07</v>
      </c>
      <c r="L70" s="358">
        <f t="shared" si="8"/>
        <v>1.9732322306909356E-2</v>
      </c>
    </row>
    <row r="71" spans="1:18" ht="15.75">
      <c r="A71" s="232">
        <v>8</v>
      </c>
      <c r="B71" s="232"/>
      <c r="C71" s="282" t="s">
        <v>7</v>
      </c>
      <c r="D71" s="256"/>
      <c r="E71" s="259"/>
      <c r="F71" s="296"/>
      <c r="G71" s="296"/>
      <c r="H71" s="235"/>
      <c r="I71" s="260"/>
      <c r="J71" s="294">
        <f>SUM(J72:J72)</f>
        <v>252.6</v>
      </c>
      <c r="K71" s="362">
        <f>SUM(K72:K72)</f>
        <v>260</v>
      </c>
      <c r="L71" s="358">
        <f t="shared" si="8"/>
        <v>3.7200120418822102E-4</v>
      </c>
      <c r="M71" s="5"/>
      <c r="N71" s="5"/>
      <c r="O71" s="5"/>
      <c r="P71" s="5"/>
      <c r="Q71" s="5"/>
      <c r="R71" s="5"/>
    </row>
    <row r="72" spans="1:18" s="2" customFormat="1" ht="78.75">
      <c r="A72" s="245" t="s">
        <v>121</v>
      </c>
      <c r="B72" s="236" t="s">
        <v>434</v>
      </c>
      <c r="C72" s="238" t="s">
        <v>433</v>
      </c>
      <c r="D72" s="249" t="s">
        <v>3</v>
      </c>
      <c r="E72" s="252">
        <f>'MEMÓRIA CALC 2'!I70</f>
        <v>5</v>
      </c>
      <c r="F72" s="293">
        <v>39.22</v>
      </c>
      <c r="G72" s="293">
        <v>42.46</v>
      </c>
      <c r="H72" s="241">
        <f t="shared" ref="H72" si="36">TRUNC(F72*(1+$J$7),2)</f>
        <v>50.52</v>
      </c>
      <c r="I72" s="241">
        <f t="shared" si="2"/>
        <v>52</v>
      </c>
      <c r="J72" s="355">
        <f t="shared" ref="J72" si="37">TRUNC(E72*H72,2)</f>
        <v>252.6</v>
      </c>
      <c r="K72" s="363">
        <f>TRUNC(E72*I72,2)</f>
        <v>260</v>
      </c>
      <c r="L72" s="358">
        <f t="shared" si="8"/>
        <v>3.7200120418822102E-4</v>
      </c>
    </row>
    <row r="73" spans="1:18" ht="15.75">
      <c r="A73" s="259">
        <v>9</v>
      </c>
      <c r="B73" s="272"/>
      <c r="C73" s="274" t="s">
        <v>9</v>
      </c>
      <c r="D73" s="273"/>
      <c r="E73" s="259"/>
      <c r="F73" s="298"/>
      <c r="G73" s="298"/>
      <c r="H73" s="260"/>
      <c r="I73" s="260"/>
      <c r="J73" s="357">
        <f>SUM(J74:J74)</f>
        <v>1350</v>
      </c>
      <c r="K73" s="364">
        <f>SUM(K74:K74)</f>
        <v>1390</v>
      </c>
      <c r="L73" s="358">
        <f t="shared" si="8"/>
        <v>1.9881299511246967E-3</v>
      </c>
      <c r="M73" s="8"/>
      <c r="N73" s="8"/>
      <c r="O73" s="8"/>
      <c r="P73" s="8"/>
      <c r="Q73" s="8"/>
      <c r="R73" s="8"/>
    </row>
    <row r="74" spans="1:18" s="2" customFormat="1" ht="15.75">
      <c r="A74" s="245" t="s">
        <v>68</v>
      </c>
      <c r="B74" s="261" t="s">
        <v>106</v>
      </c>
      <c r="C74" s="271" t="s">
        <v>77</v>
      </c>
      <c r="D74" s="239" t="s">
        <v>3</v>
      </c>
      <c r="E74" s="252">
        <f>'MEMÓRIA CALC 2'!I72</f>
        <v>500</v>
      </c>
      <c r="F74" s="293">
        <v>2.1</v>
      </c>
      <c r="G74" s="278">
        <v>2.27</v>
      </c>
      <c r="H74" s="241">
        <f t="shared" ref="H74" si="38">TRUNC(F74*(1+$J$7),2)</f>
        <v>2.7</v>
      </c>
      <c r="I74" s="241">
        <f t="shared" si="2"/>
        <v>2.78</v>
      </c>
      <c r="J74" s="355">
        <f t="shared" ref="J74" si="39">TRUNC(E74*H74,2)</f>
        <v>1350</v>
      </c>
      <c r="K74" s="363">
        <f>TRUNC(E74*I74,2)</f>
        <v>1390</v>
      </c>
      <c r="L74" s="358">
        <f t="shared" si="8"/>
        <v>1.9881299511246967E-3</v>
      </c>
    </row>
    <row r="75" spans="1:18" ht="30.75" customHeight="1">
      <c r="A75" s="454"/>
      <c r="B75" s="455"/>
      <c r="C75" s="455"/>
      <c r="D75" s="455"/>
      <c r="E75" s="456"/>
      <c r="F75" s="479" t="s">
        <v>463</v>
      </c>
      <c r="G75" s="457"/>
      <c r="H75" s="457"/>
      <c r="I75" s="458"/>
      <c r="J75" s="262">
        <f>SUM(J12+J14+J26+J33+J36+J71+J63+J73+J30)</f>
        <v>679030.06</v>
      </c>
      <c r="K75" s="262">
        <f>SUM(K12+K14+K26+K33+K36+K71+K63+K73+K30)</f>
        <v>667510.65999999992</v>
      </c>
      <c r="L75" s="358">
        <f t="shared" si="8"/>
        <v>1</v>
      </c>
    </row>
    <row r="76" spans="1:18" s="2" customFormat="1" ht="18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8" ht="69.95" customHeight="1">
      <c r="A77" s="1"/>
      <c r="B77" s="279"/>
      <c r="C77" s="289" t="s">
        <v>80</v>
      </c>
      <c r="D77" s="1"/>
      <c r="E77" s="1"/>
      <c r="F77" s="3"/>
      <c r="G77" s="3"/>
      <c r="H77" s="3"/>
      <c r="I77" s="3"/>
      <c r="L77" s="3"/>
    </row>
    <row r="78" spans="1:18">
      <c r="A78" s="3"/>
      <c r="B78" s="280"/>
      <c r="C78" s="3"/>
      <c r="D78" s="3"/>
      <c r="E78" s="3"/>
    </row>
    <row r="79" spans="1:18" ht="18">
      <c r="A79" s="385" t="s">
        <v>473</v>
      </c>
    </row>
    <row r="80" spans="1:18" s="382" customFormat="1" ht="18">
      <c r="A80" s="459" t="s">
        <v>474</v>
      </c>
      <c r="B80" s="460" t="s">
        <v>477</v>
      </c>
      <c r="C80" s="460"/>
      <c r="D80" s="460"/>
      <c r="E80" s="460"/>
      <c r="F80" s="460"/>
      <c r="G80" s="460"/>
      <c r="H80" s="460"/>
      <c r="I80" s="460"/>
      <c r="J80" s="460"/>
      <c r="K80" s="460"/>
    </row>
    <row r="81" spans="1:11" s="382" customFormat="1" ht="7.5" customHeight="1">
      <c r="A81" s="459"/>
      <c r="B81" s="460"/>
      <c r="C81" s="460"/>
      <c r="D81" s="460"/>
      <c r="E81" s="460"/>
      <c r="F81" s="460"/>
      <c r="G81" s="460"/>
      <c r="H81" s="460"/>
      <c r="I81" s="460"/>
      <c r="J81" s="460"/>
      <c r="K81" s="460"/>
    </row>
    <row r="82" spans="1:11" s="382" customFormat="1" ht="66" customHeight="1">
      <c r="A82" s="386" t="s">
        <v>475</v>
      </c>
      <c r="B82" s="461" t="s">
        <v>534</v>
      </c>
      <c r="C82" s="462"/>
      <c r="D82" s="462"/>
      <c r="E82" s="462"/>
      <c r="F82" s="462"/>
      <c r="G82" s="462"/>
      <c r="H82" s="462"/>
      <c r="I82" s="462"/>
      <c r="J82" s="462"/>
      <c r="K82" s="462"/>
    </row>
    <row r="83" spans="1:11" s="382" customFormat="1" ht="75.75" customHeight="1">
      <c r="A83" s="386" t="s">
        <v>476</v>
      </c>
      <c r="B83" s="461" t="s">
        <v>551</v>
      </c>
      <c r="C83" s="461"/>
      <c r="D83" s="461"/>
      <c r="E83" s="461"/>
      <c r="F83" s="461"/>
      <c r="G83" s="461"/>
      <c r="H83" s="461"/>
      <c r="I83" s="461"/>
      <c r="J83" s="461"/>
      <c r="K83" s="461"/>
    </row>
    <row r="84" spans="1:11">
      <c r="A84" s="378"/>
      <c r="B84"/>
    </row>
    <row r="85" spans="1:11" ht="18">
      <c r="B85" s="446" t="s">
        <v>478</v>
      </c>
      <c r="C85" s="446"/>
      <c r="D85" s="446"/>
      <c r="E85" s="446"/>
      <c r="F85" s="446"/>
      <c r="G85" s="446"/>
      <c r="H85" s="383">
        <f>J75</f>
        <v>679030.06</v>
      </c>
    </row>
    <row r="86" spans="1:11" ht="18">
      <c r="B86" s="446" t="s">
        <v>479</v>
      </c>
      <c r="C86" s="446"/>
      <c r="D86" s="446"/>
      <c r="E86" s="446"/>
      <c r="F86" s="446"/>
      <c r="G86" s="446"/>
      <c r="H86" s="383">
        <f>K75</f>
        <v>667510.65999999992</v>
      </c>
    </row>
    <row r="87" spans="1:11" ht="18">
      <c r="B87" s="382"/>
      <c r="C87" s="382"/>
      <c r="D87" s="382"/>
      <c r="E87" s="382"/>
      <c r="F87" s="382"/>
      <c r="G87" s="382"/>
      <c r="H87" s="382"/>
    </row>
    <row r="88" spans="1:11" ht="18">
      <c r="B88" s="382"/>
      <c r="C88" s="382"/>
      <c r="D88" s="382"/>
      <c r="E88" s="382"/>
      <c r="F88" s="463" t="s">
        <v>480</v>
      </c>
      <c r="G88" s="463"/>
      <c r="H88" s="384">
        <f>1-H86/H85</f>
        <v>1.6964491969619355E-2</v>
      </c>
    </row>
    <row r="89" spans="1:11">
      <c r="B89"/>
    </row>
    <row r="90" spans="1:11">
      <c r="B90"/>
    </row>
    <row r="91" spans="1:11">
      <c r="B91"/>
    </row>
    <row r="92" spans="1:11">
      <c r="B92"/>
    </row>
    <row r="93" spans="1:11">
      <c r="B93"/>
    </row>
    <row r="94" spans="1:11">
      <c r="B94"/>
    </row>
    <row r="95" spans="1:11">
      <c r="B95"/>
    </row>
    <row r="96" spans="1:11">
      <c r="B96"/>
    </row>
    <row r="97" spans="2:2">
      <c r="B97"/>
    </row>
    <row r="98" spans="2:2">
      <c r="B98"/>
    </row>
    <row r="99" spans="2:2" ht="30.75" customHeight="1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</sheetData>
  <mergeCells count="26">
    <mergeCell ref="F10:L10"/>
    <mergeCell ref="A80:A81"/>
    <mergeCell ref="A75:E75"/>
    <mergeCell ref="B80:K81"/>
    <mergeCell ref="A9:H9"/>
    <mergeCell ref="A10:A11"/>
    <mergeCell ref="B10:B11"/>
    <mergeCell ref="C10:C11"/>
    <mergeCell ref="D10:D11"/>
    <mergeCell ref="E10:E11"/>
    <mergeCell ref="F75:I75"/>
    <mergeCell ref="D8:F8"/>
    <mergeCell ref="B7:F7"/>
    <mergeCell ref="A1:J1"/>
    <mergeCell ref="A2:J2"/>
    <mergeCell ref="A3:J3"/>
    <mergeCell ref="A4:J4"/>
    <mergeCell ref="G6:H6"/>
    <mergeCell ref="I6:J6"/>
    <mergeCell ref="A5:A6"/>
    <mergeCell ref="B5:F6"/>
    <mergeCell ref="B82:K82"/>
    <mergeCell ref="B83:K83"/>
    <mergeCell ref="B85:G85"/>
    <mergeCell ref="B86:G86"/>
    <mergeCell ref="F88:G88"/>
  </mergeCells>
  <phoneticPr fontId="15" type="noConversion"/>
  <conditionalFormatting sqref="L56:L6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3:L75 L12:L55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73"/>
  <sheetViews>
    <sheetView zoomScale="89" zoomScaleNormal="89" zoomScaleSheetLayoutView="112" workbookViewId="0">
      <selection activeCell="F16" sqref="F16"/>
    </sheetView>
  </sheetViews>
  <sheetFormatPr defaultColWidth="11" defaultRowHeight="12.75"/>
  <cols>
    <col min="1" max="1" width="8" style="11" customWidth="1"/>
    <col min="2" max="2" width="46.25" style="11" customWidth="1"/>
    <col min="3" max="3" width="7.125" style="11" bestFit="1" customWidth="1"/>
    <col min="4" max="4" width="7.375" style="11" customWidth="1"/>
    <col min="5" max="5" width="8.25" style="11" bestFit="1" customWidth="1"/>
    <col min="6" max="6" width="7.875" style="11" bestFit="1" customWidth="1"/>
    <col min="7" max="7" width="8.25" style="11" bestFit="1" customWidth="1"/>
    <col min="8" max="8" width="7.375" style="11" bestFit="1" customWidth="1"/>
    <col min="9" max="9" width="7.125" style="11" bestFit="1" customWidth="1"/>
    <col min="10" max="10" width="5.75" style="11" customWidth="1"/>
    <col min="11" max="11" width="17.875" style="11" customWidth="1"/>
    <col min="12" max="12" width="63.625" style="11" customWidth="1"/>
    <col min="13" max="15" width="7.5" style="11" customWidth="1"/>
    <col min="16" max="16384" width="11" style="11"/>
  </cols>
  <sheetData>
    <row r="1" spans="1:15" customFormat="1" ht="15.75" customHeight="1">
      <c r="A1" s="447" t="s">
        <v>81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6"/>
      <c r="M1" s="6"/>
      <c r="N1" s="6"/>
      <c r="O1" s="6"/>
    </row>
    <row r="2" spans="1:15" customFormat="1" ht="15.75" customHeight="1">
      <c r="A2" s="448" t="s">
        <v>82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5"/>
      <c r="M2" s="5"/>
      <c r="N2" s="5"/>
      <c r="O2" s="5"/>
    </row>
    <row r="3" spans="1:15" customFormat="1" ht="15.75" customHeight="1">
      <c r="A3" s="448" t="s">
        <v>19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5"/>
      <c r="M3" s="5"/>
      <c r="N3" s="5"/>
      <c r="O3" s="5"/>
    </row>
    <row r="4" spans="1:15" customFormat="1" ht="15.75" customHeight="1">
      <c r="A4" s="449" t="s">
        <v>83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5"/>
      <c r="M4" s="5"/>
      <c r="N4" s="5"/>
      <c r="O4" s="5"/>
    </row>
    <row r="5" spans="1:15" customFormat="1" ht="15.75">
      <c r="A5" s="210" t="s">
        <v>84</v>
      </c>
      <c r="B5" s="482" t="s">
        <v>328</v>
      </c>
      <c r="C5" s="483"/>
      <c r="D5" s="483"/>
      <c r="E5" s="483"/>
      <c r="F5" s="483"/>
      <c r="G5" s="483"/>
      <c r="H5" s="483"/>
      <c r="I5" s="485" t="s">
        <v>20</v>
      </c>
      <c r="J5" s="485"/>
      <c r="K5" s="487">
        <v>45072</v>
      </c>
      <c r="L5" s="5"/>
      <c r="M5" s="5"/>
      <c r="N5" s="5"/>
      <c r="O5" s="5"/>
    </row>
    <row r="6" spans="1:15" customFormat="1" ht="15.75">
      <c r="A6" s="224" t="s">
        <v>33</v>
      </c>
      <c r="B6" s="484" t="s">
        <v>95</v>
      </c>
      <c r="C6" s="484"/>
      <c r="D6" s="484"/>
      <c r="E6" s="484"/>
      <c r="F6" s="484"/>
      <c r="G6" s="484"/>
      <c r="H6" s="484"/>
      <c r="I6" s="486"/>
      <c r="J6" s="486"/>
      <c r="K6" s="488"/>
      <c r="L6" s="5"/>
      <c r="M6" s="5"/>
      <c r="N6" s="5"/>
      <c r="O6" s="5"/>
    </row>
    <row r="7" spans="1:15" customFormat="1" ht="15.75" customHeight="1">
      <c r="A7" s="480" t="s">
        <v>66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5"/>
      <c r="M7" s="5"/>
      <c r="N7" s="5"/>
      <c r="O7" s="5"/>
    </row>
    <row r="8" spans="1:15">
      <c r="A8" s="211" t="s">
        <v>32</v>
      </c>
      <c r="B8" s="211" t="s">
        <v>107</v>
      </c>
      <c r="C8" s="211" t="s">
        <v>108</v>
      </c>
      <c r="D8" s="223" t="s">
        <v>109</v>
      </c>
      <c r="E8" s="223" t="s">
        <v>110</v>
      </c>
      <c r="F8" s="223" t="s">
        <v>111</v>
      </c>
      <c r="G8" s="223" t="s">
        <v>112</v>
      </c>
      <c r="H8" s="223" t="s">
        <v>113</v>
      </c>
      <c r="I8" s="211" t="s">
        <v>91</v>
      </c>
      <c r="J8" s="211" t="s">
        <v>17</v>
      </c>
      <c r="K8" s="211" t="s">
        <v>114</v>
      </c>
    </row>
    <row r="9" spans="1:15">
      <c r="A9" s="201"/>
      <c r="B9" s="201"/>
      <c r="C9" s="201"/>
      <c r="D9" s="201"/>
      <c r="E9" s="201"/>
      <c r="F9" s="201"/>
      <c r="G9" s="201"/>
      <c r="H9" s="201"/>
      <c r="I9" s="202"/>
      <c r="J9" s="201"/>
      <c r="K9" s="201"/>
    </row>
    <row r="10" spans="1:15" ht="15.75">
      <c r="A10" s="212">
        <v>1</v>
      </c>
      <c r="B10" s="212" t="str">
        <f>ORÇAMENTO!C12</f>
        <v>PROJETOS</v>
      </c>
      <c r="C10" s="213"/>
      <c r="D10" s="214"/>
      <c r="E10" s="214"/>
      <c r="F10" s="214"/>
      <c r="G10" s="214"/>
      <c r="H10" s="214"/>
      <c r="I10" s="214"/>
      <c r="J10" s="212"/>
      <c r="K10" s="212"/>
    </row>
    <row r="11" spans="1:15" ht="15">
      <c r="A11" s="200" t="s">
        <v>65</v>
      </c>
      <c r="B11" s="22" t="str">
        <f>ORÇAMENTO!C13</f>
        <v>ELABORAÇÃO DE RELATÓRIO "AS BUILT"</v>
      </c>
      <c r="C11" s="197">
        <v>1</v>
      </c>
      <c r="D11" s="197"/>
      <c r="E11" s="197"/>
      <c r="F11" s="197"/>
      <c r="G11" s="197"/>
      <c r="H11" s="197"/>
      <c r="I11" s="24">
        <v>20</v>
      </c>
      <c r="J11" s="23" t="str">
        <f>ORÇAMENTO!D13</f>
        <v>ut</v>
      </c>
      <c r="K11" s="215"/>
    </row>
    <row r="12" spans="1:15" ht="15">
      <c r="A12" s="212">
        <v>2</v>
      </c>
      <c r="B12" s="212" t="str">
        <f>ORÇAMENTO!C14</f>
        <v>SERVIÇOS PRELIMINARES / TÉCNICOS</v>
      </c>
      <c r="C12" s="290">
        <v>2</v>
      </c>
      <c r="D12" s="214"/>
      <c r="E12" s="214"/>
      <c r="F12" s="214"/>
      <c r="G12" s="214"/>
      <c r="H12" s="214"/>
      <c r="I12" s="214"/>
      <c r="J12" s="212"/>
      <c r="K12" s="212"/>
    </row>
    <row r="13" spans="1:15" ht="15">
      <c r="A13" s="17" t="s">
        <v>10</v>
      </c>
      <c r="B13" s="18" t="str">
        <f>ORÇAMENTO!C15</f>
        <v>Regularização de obra (taxas diversas).</v>
      </c>
      <c r="C13" s="19">
        <v>1</v>
      </c>
      <c r="D13" s="20"/>
      <c r="E13" s="19"/>
      <c r="F13" s="19"/>
      <c r="G13" s="19"/>
      <c r="H13" s="20"/>
      <c r="I13" s="20">
        <v>2</v>
      </c>
      <c r="J13" s="21" t="str">
        <f>ORÇAMENTO!D15</f>
        <v>und</v>
      </c>
      <c r="K13" s="201"/>
    </row>
    <row r="14" spans="1:15" ht="39">
      <c r="A14" s="17" t="s">
        <v>73</v>
      </c>
      <c r="B14" s="18" t="str">
        <f>ORÇAMENTO!C16</f>
        <v>Administração local da obra para cronograma de 7 meses, em conformidade com o Acórdão n°2.622/2013, com vairação da taxa entre 3,49% e 8,87%.</v>
      </c>
      <c r="C14" s="19">
        <v>1</v>
      </c>
      <c r="D14" s="198"/>
      <c r="E14" s="19"/>
      <c r="F14" s="19"/>
      <c r="G14" s="19"/>
      <c r="H14" s="198"/>
      <c r="I14" s="20">
        <v>100</v>
      </c>
      <c r="J14" s="21" t="str">
        <f>ORÇAMENTO!D16</f>
        <v>%</v>
      </c>
      <c r="K14" s="201"/>
    </row>
    <row r="15" spans="1:15" ht="15">
      <c r="A15" s="17" t="s">
        <v>11</v>
      </c>
      <c r="B15" s="18" t="str">
        <f>ORÇAMENTO!C17</f>
        <v>PLACA PADRÃO DE OBRA, TIPO BANNER</v>
      </c>
      <c r="C15" s="196">
        <v>1</v>
      </c>
      <c r="D15" s="199"/>
      <c r="E15" s="196">
        <v>1.5</v>
      </c>
      <c r="F15" s="196">
        <v>3</v>
      </c>
      <c r="G15" s="196">
        <f>E15*F15</f>
        <v>4.5</v>
      </c>
      <c r="H15" s="198"/>
      <c r="I15" s="20">
        <f>G15*C15</f>
        <v>4.5</v>
      </c>
      <c r="J15" s="21" t="str">
        <f>ORÇAMENTO!D17</f>
        <v>m²</v>
      </c>
      <c r="K15" s="203"/>
    </row>
    <row r="16" spans="1:15" ht="39">
      <c r="A16" s="17" t="s">
        <v>70</v>
      </c>
      <c r="B16" s="18" t="str">
        <f>ORÇAMENTO!C18</f>
        <v>Limpeza mecanizada de camada vegetal, vegetação e pequenas árvores (diâmetro de tronco menor que 20 cm) com trator de esteiras.</v>
      </c>
      <c r="C16" s="19">
        <v>1</v>
      </c>
      <c r="D16" s="198"/>
      <c r="E16" s="19"/>
      <c r="F16" s="19"/>
      <c r="G16" s="19"/>
      <c r="H16" s="198"/>
      <c r="I16" s="20">
        <v>500</v>
      </c>
      <c r="J16" s="21" t="str">
        <f>ORÇAMENTO!D18</f>
        <v>m²</v>
      </c>
      <c r="K16" s="201"/>
    </row>
    <row r="17" spans="1:15" ht="51.75">
      <c r="A17" s="17" t="s">
        <v>74</v>
      </c>
      <c r="B17" s="18" t="str">
        <f>ORÇAMENTO!C19</f>
        <v>CARGA, MANOBRA E DESCARGA DE ENTULHO EM CAMINHÃO BASCULANTE 10 M³ - CARGA COM ESCAVADEIRA HIDRÁULICA (CAÇAMBA DE 0,80 M³ / 111 HP) E DESCARGA LIVRE (UNIDADE: M3). AF_07/2020</v>
      </c>
      <c r="C17" s="19"/>
      <c r="D17" s="198"/>
      <c r="E17" s="19"/>
      <c r="F17" s="19"/>
      <c r="G17" s="19"/>
      <c r="H17" s="198"/>
      <c r="I17" s="20">
        <v>60</v>
      </c>
      <c r="J17" s="21" t="str">
        <f>ORÇAMENTO!D19</f>
        <v>m³</v>
      </c>
      <c r="K17" s="201"/>
    </row>
    <row r="18" spans="1:15" ht="26.25">
      <c r="A18" s="17" t="s">
        <v>75</v>
      </c>
      <c r="B18" s="18" t="str">
        <f>ORÇAMENTO!C20</f>
        <v>Locação de container - Almoxarifado sem banheiro - 6,00 x 2,40m - Rev 02_02/2022</v>
      </c>
      <c r="C18" s="19"/>
      <c r="D18" s="198"/>
      <c r="E18" s="19"/>
      <c r="F18" s="19"/>
      <c r="G18" s="19"/>
      <c r="H18" s="198"/>
      <c r="I18" s="20">
        <v>7</v>
      </c>
      <c r="J18" s="21" t="str">
        <f>ORÇAMENTO!D20</f>
        <v>mês</v>
      </c>
      <c r="K18" s="201"/>
    </row>
    <row r="19" spans="1:15" ht="39">
      <c r="A19" s="17" t="s">
        <v>76</v>
      </c>
      <c r="B19" s="18" t="str">
        <f>ORÇAMENTO!C21</f>
        <v>DEMOLIÇÃO DE PAVIMENTO INTERTRAVADO, DE FORMA MANUAL, COM REAPROVEITAMENTO. AF_12/2017</v>
      </c>
      <c r="C19" s="19"/>
      <c r="D19" s="198"/>
      <c r="E19" s="19"/>
      <c r="F19" s="19"/>
      <c r="G19" s="19"/>
      <c r="H19" s="198"/>
      <c r="I19" s="20">
        <f>21*0.5</f>
        <v>10.5</v>
      </c>
      <c r="J19" s="21" t="str">
        <f>ORÇAMENTO!D21</f>
        <v>m²</v>
      </c>
      <c r="K19" s="201"/>
    </row>
    <row r="20" spans="1:15" ht="39">
      <c r="A20" s="17" t="s">
        <v>317</v>
      </c>
      <c r="B20" s="18" t="str">
        <f>ORÇAMENTO!C22</f>
        <v>DEMOLIÇÃO DE REVESTIMENTO CERÂMICO, DE FORMA MECANIZADA COM MARTELETE, SEM REAPROVEITAMENTO. AF_12/2017</v>
      </c>
      <c r="C20" s="19"/>
      <c r="D20" s="198"/>
      <c r="E20" s="19"/>
      <c r="F20" s="19"/>
      <c r="G20" s="19"/>
      <c r="H20" s="198"/>
      <c r="I20" s="20">
        <f>'RASCUNHO QUANT'!C142</f>
        <v>22</v>
      </c>
      <c r="J20" s="21" t="str">
        <f>ORÇAMENTO!D22</f>
        <v>m²</v>
      </c>
      <c r="K20" s="201"/>
    </row>
    <row r="21" spans="1:15" ht="15">
      <c r="A21" s="17" t="s">
        <v>327</v>
      </c>
      <c r="B21" s="18" t="str">
        <f>ORÇAMENTO!C23</f>
        <v>DEMOLIÇÃO DE CONCRETO SIMPLES</v>
      </c>
      <c r="C21" s="19"/>
      <c r="D21" s="198"/>
      <c r="E21" s="19"/>
      <c r="F21" s="19"/>
      <c r="G21" s="19"/>
      <c r="H21" s="198"/>
      <c r="I21" s="20">
        <f>'RASCUNHO QUANT'!G143</f>
        <v>15.495600000000003</v>
      </c>
      <c r="J21" s="21" t="str">
        <f>ORÇAMENTO!D23</f>
        <v>m³</v>
      </c>
      <c r="K21" s="201"/>
    </row>
    <row r="22" spans="1:15" ht="15">
      <c r="A22" s="17" t="s">
        <v>494</v>
      </c>
      <c r="B22" s="18" t="str">
        <f>ORÇAMENTO!C24</f>
        <v>Andaime tubular metálico simples - peça x dia</v>
      </c>
      <c r="C22" s="19">
        <v>60</v>
      </c>
      <c r="D22" s="198">
        <f>30*3</f>
        <v>90</v>
      </c>
      <c r="E22" s="19"/>
      <c r="F22" s="19"/>
      <c r="G22" s="19"/>
      <c r="H22" s="198"/>
      <c r="I22" s="20">
        <f>D22*C22</f>
        <v>5400</v>
      </c>
      <c r="J22" s="21" t="str">
        <f>ORÇAMENTO!D24</f>
        <v>PxD</v>
      </c>
      <c r="K22" s="201"/>
    </row>
    <row r="23" spans="1:15" ht="26.25">
      <c r="A23" s="17" t="s">
        <v>495</v>
      </c>
      <c r="B23" s="18" t="str">
        <f>ORÇAMENTO!C25</f>
        <v>Montagem e desmontagem de andaime metálico tubular simples</v>
      </c>
      <c r="C23" s="19">
        <f>60*6</f>
        <v>360</v>
      </c>
      <c r="D23" s="198"/>
      <c r="E23" s="19"/>
      <c r="F23" s="19"/>
      <c r="G23" s="19"/>
      <c r="H23" s="198"/>
      <c r="I23" s="20">
        <f>C23</f>
        <v>360</v>
      </c>
      <c r="J23" s="21" t="str">
        <f>ORÇAMENTO!D25</f>
        <v>pc</v>
      </c>
      <c r="K23" s="201"/>
    </row>
    <row r="24" spans="1:15" ht="15">
      <c r="A24" s="212">
        <v>3</v>
      </c>
      <c r="B24" s="212" t="str">
        <f>ORÇAMENTO!C26</f>
        <v>MOVIMENTO DE TERRA</v>
      </c>
      <c r="C24" s="359"/>
      <c r="D24" s="214"/>
      <c r="E24" s="214"/>
      <c r="F24" s="214"/>
      <c r="G24" s="214"/>
      <c r="H24" s="214"/>
      <c r="I24" s="214"/>
      <c r="J24" s="212"/>
      <c r="K24" s="212"/>
    </row>
    <row r="25" spans="1:15" ht="26.25">
      <c r="A25" s="17" t="s">
        <v>115</v>
      </c>
      <c r="B25" s="18" t="str">
        <f>ORÇAMENTO!C27</f>
        <v>Escavação manual de vala com profundidade menor ou igual a 1,30m.</v>
      </c>
      <c r="C25" s="197"/>
      <c r="D25" s="19"/>
      <c r="E25" s="19"/>
      <c r="F25" s="19"/>
      <c r="G25" s="19"/>
      <c r="H25" s="19"/>
      <c r="I25" s="20">
        <f>'RASCUNHO QUANT'!C141</f>
        <v>525.97840000000008</v>
      </c>
      <c r="J25" s="21" t="str">
        <f>ORÇAMENTO!D27</f>
        <v>m³</v>
      </c>
      <c r="K25" s="201"/>
    </row>
    <row r="26" spans="1:15" ht="15">
      <c r="A26" s="17" t="s">
        <v>116</v>
      </c>
      <c r="B26" s="18" t="str">
        <f>ORÇAMENTO!C28</f>
        <v>Reaterro manual apiloado com soquete.</v>
      </c>
      <c r="C26" s="19"/>
      <c r="D26" s="19"/>
      <c r="E26" s="19"/>
      <c r="F26" s="19"/>
      <c r="G26" s="19"/>
      <c r="H26" s="19"/>
      <c r="I26" s="20">
        <f>I25</f>
        <v>525.97840000000008</v>
      </c>
      <c r="J26" s="21" t="str">
        <f>ORÇAMENTO!D28</f>
        <v>m³</v>
      </c>
      <c r="K26" s="203"/>
      <c r="L26" s="229"/>
    </row>
    <row r="27" spans="1:15" ht="32.25" customHeight="1">
      <c r="A27" s="17" t="s">
        <v>117</v>
      </c>
      <c r="B27" s="18" t="str">
        <f>ORÇAMENTO!C29</f>
        <v>Aterro manual de valas com areia para aterro e compactação mecanizada.</v>
      </c>
      <c r="C27" s="19"/>
      <c r="D27" s="19"/>
      <c r="E27" s="19"/>
      <c r="F27" s="19"/>
      <c r="G27" s="19"/>
      <c r="H27" s="19"/>
      <c r="I27" s="25">
        <v>12</v>
      </c>
      <c r="J27" s="21" t="str">
        <f>ORÇAMENTO!D29</f>
        <v>m³</v>
      </c>
      <c r="K27" s="201"/>
    </row>
    <row r="28" spans="1:15" ht="15.75">
      <c r="A28" s="291">
        <v>4</v>
      </c>
      <c r="B28" s="212" t="str">
        <f>ORÇAMENTO!C30</f>
        <v>INFRA-ESTRUTURA / FUNDAÇÃO SIMPLES</v>
      </c>
      <c r="C28" s="230"/>
      <c r="D28" s="214"/>
      <c r="E28" s="214"/>
      <c r="F28" s="214"/>
      <c r="G28" s="214"/>
      <c r="H28" s="214"/>
      <c r="I28" s="214"/>
      <c r="J28" s="214"/>
      <c r="K28" s="212"/>
    </row>
    <row r="29" spans="1:15" ht="57.75" customHeight="1">
      <c r="A29" s="270" t="s">
        <v>118</v>
      </c>
      <c r="B29" s="18" t="str">
        <f>ORÇAMENTO!C31</f>
        <v>CONCRETAGEM DE RADIER, PISO DE CONCRETO OU LAJE SOBRE SOLO, FCK 30 MPA - LANÇAMENTO, ADENSAMENTO E ACABAMENTO. AF_09/2021</v>
      </c>
      <c r="C29" s="19"/>
      <c r="D29" s="19"/>
      <c r="E29" s="19"/>
      <c r="F29" s="19"/>
      <c r="G29" s="19"/>
      <c r="H29" s="19"/>
      <c r="I29" s="20">
        <v>2.5</v>
      </c>
      <c r="J29" s="21" t="str">
        <f>ORÇAMENTO!D31</f>
        <v>m³</v>
      </c>
      <c r="K29" s="201"/>
    </row>
    <row r="30" spans="1:15" ht="57.75" customHeight="1">
      <c r="A30" s="270" t="s">
        <v>309</v>
      </c>
      <c r="B30" s="18" t="str">
        <f>ORÇAMENTO!C32</f>
        <v>ALVENARIA DE EMBASAMENTO COM BLOCO ESTRUTURAL DE CERÂMICA, DE 14X19X29CM E ARGAMASSA DE ASSENTAMENTO COM PREPARO EM BETONEIRA. AF_05/2020</v>
      </c>
      <c r="C30" s="19"/>
      <c r="D30" s="19"/>
      <c r="E30" s="19"/>
      <c r="F30" s="19"/>
      <c r="G30" s="19"/>
      <c r="H30" s="19"/>
      <c r="I30" s="20">
        <v>2.5</v>
      </c>
      <c r="J30" s="21" t="str">
        <f>ORÇAMENTO!D32</f>
        <v>m³</v>
      </c>
      <c r="K30" s="201"/>
    </row>
    <row r="31" spans="1:15" ht="15.75">
      <c r="A31" s="212">
        <v>5</v>
      </c>
      <c r="B31" s="212" t="str">
        <f>ORÇAMENTO!C33</f>
        <v>COBERTURA</v>
      </c>
      <c r="C31" s="230"/>
      <c r="D31" s="231"/>
      <c r="E31" s="231"/>
      <c r="F31" s="214"/>
      <c r="G31" s="214"/>
      <c r="H31" s="214"/>
      <c r="I31" s="214"/>
      <c r="J31" s="214"/>
      <c r="K31" s="212"/>
    </row>
    <row r="32" spans="1:15" ht="39">
      <c r="A32" s="270" t="s">
        <v>119</v>
      </c>
      <c r="B32" s="18" t="str">
        <f>ORÇAMENTO!C34</f>
        <v>TELHAMENTO COM TELHA CERÂMICA CAPA-CANAL, TIPO COLONIAL, COM ATÉ 2 ÁGUAS, INCLUSO TRANSPORTE VERTICAL. AF_07/2019</v>
      </c>
      <c r="C32" s="19"/>
      <c r="D32" s="19"/>
      <c r="E32" s="19"/>
      <c r="F32" s="19"/>
      <c r="G32" s="19"/>
      <c r="H32" s="19"/>
      <c r="I32" s="25">
        <v>25</v>
      </c>
      <c r="J32" s="21" t="str">
        <f>ORÇAMENTO!D34</f>
        <v>m²</v>
      </c>
      <c r="K32" s="203"/>
      <c r="L32" s="13"/>
      <c r="M32" s="13"/>
      <c r="N32" s="13"/>
      <c r="O32" s="13"/>
    </row>
    <row r="33" spans="1:15" ht="26.25">
      <c r="A33" s="270" t="s">
        <v>464</v>
      </c>
      <c r="B33" s="18" t="str">
        <f>ORÇAMENTO!C35</f>
        <v>EMBOÇAMENTO COM ARGAMASSA TRAÇO 1:2:9 (CIMENTO, CAL E AREIA). AF_07/2019</v>
      </c>
      <c r="C33" s="372"/>
      <c r="D33" s="19"/>
      <c r="E33" s="19"/>
      <c r="F33" s="19"/>
      <c r="G33" s="19"/>
      <c r="H33" s="19"/>
      <c r="I33" s="25">
        <v>20</v>
      </c>
      <c r="J33" s="21" t="s">
        <v>459</v>
      </c>
      <c r="K33" s="203"/>
      <c r="L33" s="13"/>
      <c r="M33" s="13"/>
      <c r="N33" s="13"/>
      <c r="O33" s="13"/>
    </row>
    <row r="34" spans="1:15" ht="15.75">
      <c r="A34" s="212">
        <v>6</v>
      </c>
      <c r="B34" s="212" t="str">
        <f>ORÇAMENTO!C36</f>
        <v>INSTALAÇÕES ELÉTRICAS</v>
      </c>
      <c r="C34" s="213"/>
      <c r="D34" s="214"/>
      <c r="E34" s="214"/>
      <c r="F34" s="214"/>
      <c r="G34" s="214"/>
      <c r="H34" s="214"/>
      <c r="I34" s="214"/>
      <c r="J34" s="212"/>
      <c r="K34" s="212"/>
    </row>
    <row r="35" spans="1:15" ht="26.25">
      <c r="A35" s="17" t="s">
        <v>12</v>
      </c>
      <c r="B35" s="18" t="str">
        <f>ORÇAMENTO!C37</f>
        <v>Cabo de cobre nú 50 mm2 - fornecimento e assentamento (2,27m/kg)</v>
      </c>
      <c r="C35" s="19"/>
      <c r="D35" s="19"/>
      <c r="E35" s="19"/>
      <c r="F35" s="19"/>
      <c r="G35" s="19"/>
      <c r="H35" s="19"/>
      <c r="I35" s="25">
        <f>ORÇAMENTO!E37</f>
        <v>843.4</v>
      </c>
      <c r="J35" s="25" t="str">
        <f>ORÇAMENTO!D37</f>
        <v>kg</v>
      </c>
      <c r="K35" s="204"/>
      <c r="L35"/>
      <c r="M35"/>
      <c r="N35"/>
      <c r="O35" s="13"/>
    </row>
    <row r="36" spans="1:15" ht="26.25">
      <c r="A36" s="17" t="s">
        <v>13</v>
      </c>
      <c r="B36" s="18" t="str">
        <f>ORÇAMENTO!C38</f>
        <v>HASTE DE ATERRAMENTO 5/8  PARA SPDA - FORNECIMENTO E INSTALAÇÃO. AF_12/2017</v>
      </c>
      <c r="C36" s="19"/>
      <c r="D36" s="19"/>
      <c r="E36" s="19"/>
      <c r="F36" s="19"/>
      <c r="G36" s="19"/>
      <c r="H36" s="19"/>
      <c r="I36" s="25">
        <f>ORÇAMENTO!E38</f>
        <v>186</v>
      </c>
      <c r="J36" s="25" t="str">
        <f>ORÇAMENTO!D38</f>
        <v>UN</v>
      </c>
      <c r="K36" s="204"/>
      <c r="L36"/>
      <c r="M36"/>
      <c r="N36"/>
      <c r="O36" s="13"/>
    </row>
    <row r="37" spans="1:15" ht="15">
      <c r="A37" s="17" t="s">
        <v>14</v>
      </c>
      <c r="B37" s="18" t="str">
        <f>ORÇAMENTO!C39</f>
        <v>CONEXAO EXOTERMICA CABO/CABO</v>
      </c>
      <c r="C37" s="19"/>
      <c r="D37" s="19"/>
      <c r="E37" s="19"/>
      <c r="F37" s="19"/>
      <c r="G37" s="19"/>
      <c r="H37" s="19"/>
      <c r="I37" s="25">
        <f>ORÇAMENTO!E39</f>
        <v>174</v>
      </c>
      <c r="J37" s="25" t="str">
        <f>ORÇAMENTO!D39</f>
        <v>UN</v>
      </c>
      <c r="K37" s="204"/>
      <c r="L37"/>
      <c r="M37"/>
      <c r="N37"/>
      <c r="O37" s="13"/>
    </row>
    <row r="38" spans="1:15" ht="15">
      <c r="A38" s="17" t="s">
        <v>15</v>
      </c>
      <c r="B38" s="18" t="str">
        <f>ORÇAMENTO!C40</f>
        <v>CONEXAO EXOTERMICA CABO/HASTE</v>
      </c>
      <c r="C38" s="19"/>
      <c r="D38" s="19"/>
      <c r="E38" s="19"/>
      <c r="F38" s="19"/>
      <c r="G38" s="19"/>
      <c r="H38" s="19"/>
      <c r="I38" s="25">
        <f>ORÇAMENTO!E40</f>
        <v>100</v>
      </c>
      <c r="J38" s="25" t="str">
        <f>ORÇAMENTO!D40</f>
        <v>UN</v>
      </c>
      <c r="K38" s="204"/>
      <c r="L38"/>
      <c r="M38"/>
      <c r="N38"/>
      <c r="O38" s="13"/>
    </row>
    <row r="39" spans="1:15" ht="26.25">
      <c r="A39" s="17" t="s">
        <v>414</v>
      </c>
      <c r="B39" s="18" t="str">
        <f>ORÇAMENTO!C41</f>
        <v>Caixa inspeção em poliamida 150x110x70mm, bocal 1" (DN 32mm), ref: TEL-541 (SPDA)</v>
      </c>
      <c r="C39" s="19"/>
      <c r="D39" s="19"/>
      <c r="E39" s="19"/>
      <c r="F39" s="19"/>
      <c r="G39" s="19"/>
      <c r="H39" s="19"/>
      <c r="I39" s="25">
        <f>ORÇAMENTO!E41</f>
        <v>110</v>
      </c>
      <c r="J39" s="25" t="str">
        <f>ORÇAMENTO!D41</f>
        <v>un</v>
      </c>
      <c r="K39" s="204"/>
      <c r="L39"/>
      <c r="M39"/>
      <c r="N39"/>
      <c r="O39" s="13"/>
    </row>
    <row r="40" spans="1:15" ht="39">
      <c r="A40" s="17" t="s">
        <v>415</v>
      </c>
      <c r="B40" s="18" t="str">
        <f>ORÇAMENTO!C42</f>
        <v>ELETRODUTO RÍGIDO ROSCÁVEL, PVC, DN 25 MM (3/4"), PARA CIRCUITOS TERMINAIS, INSTALADO EM PAREDE - FORNECIMENTO E INSTALAÇÃO. AF_03/2023</v>
      </c>
      <c r="C40" s="19"/>
      <c r="D40" s="19"/>
      <c r="E40" s="19"/>
      <c r="F40" s="19"/>
      <c r="G40" s="19"/>
      <c r="H40" s="19"/>
      <c r="I40" s="25">
        <f>ORÇAMENTO!E42</f>
        <v>240</v>
      </c>
      <c r="J40" s="25" t="str">
        <f>ORÇAMENTO!D42</f>
        <v>m</v>
      </c>
      <c r="K40" s="204"/>
      <c r="L40"/>
      <c r="M40"/>
      <c r="N40"/>
      <c r="O40" s="13"/>
    </row>
    <row r="41" spans="1:15" ht="26.25">
      <c r="A41" s="17" t="s">
        <v>416</v>
      </c>
      <c r="B41" s="18" t="str">
        <f>ORÇAMENTO!C43</f>
        <v>Caixa de equalização p/aterramento 20x20x10cm de sobrepor p/11 terminais de pressão c/barramento</v>
      </c>
      <c r="C41" s="19"/>
      <c r="D41" s="19"/>
      <c r="E41" s="19"/>
      <c r="F41" s="19"/>
      <c r="G41" s="19"/>
      <c r="H41" s="19"/>
      <c r="I41" s="25">
        <f>ORÇAMENTO!E43</f>
        <v>24</v>
      </c>
      <c r="J41" s="25" t="str">
        <f>ORÇAMENTO!D43</f>
        <v>un</v>
      </c>
      <c r="K41" s="204"/>
      <c r="L41"/>
      <c r="M41"/>
      <c r="N41"/>
      <c r="O41" s="13"/>
    </row>
    <row r="42" spans="1:15" ht="26.25">
      <c r="A42" s="17" t="s">
        <v>417</v>
      </c>
      <c r="B42" s="18" t="str">
        <f>ORÇAMENTO!C44</f>
        <v>Conector de medição em bronze c/4 parafusos p/cabos de cobre 16-70mm² ref.TEL-560 (pára-raio)</v>
      </c>
      <c r="C42" s="19"/>
      <c r="D42" s="19"/>
      <c r="E42" s="19"/>
      <c r="F42" s="19"/>
      <c r="G42" s="19"/>
      <c r="H42" s="19"/>
      <c r="I42" s="25">
        <f>ORÇAMENTO!E44</f>
        <v>56</v>
      </c>
      <c r="J42" s="25" t="str">
        <f>ORÇAMENTO!D44</f>
        <v>Un</v>
      </c>
      <c r="K42" s="204"/>
      <c r="L42"/>
      <c r="M42"/>
      <c r="N42"/>
      <c r="O42" s="13"/>
    </row>
    <row r="43" spans="1:15" ht="26.25">
      <c r="A43" s="17" t="s">
        <v>418</v>
      </c>
      <c r="B43" s="18" t="str">
        <f>ORÇAMENTO!C45</f>
        <v>Dispositivo de proteção contra surto de tensão DPS 40/20kA - 175v Classe II</v>
      </c>
      <c r="C43" s="19"/>
      <c r="D43" s="19"/>
      <c r="E43" s="19"/>
      <c r="F43" s="19"/>
      <c r="G43" s="19"/>
      <c r="H43" s="19"/>
      <c r="I43" s="25">
        <f>ORÇAMENTO!E45</f>
        <v>176</v>
      </c>
      <c r="J43" s="25" t="str">
        <f>ORÇAMENTO!D45</f>
        <v>un</v>
      </c>
      <c r="K43" s="204"/>
      <c r="L43"/>
      <c r="M43"/>
      <c r="N43"/>
      <c r="O43" s="13"/>
    </row>
    <row r="44" spans="1:15" ht="26.25">
      <c r="A44" s="17" t="s">
        <v>419</v>
      </c>
      <c r="B44" s="18" t="str">
        <f>ORÇAMENTO!C46</f>
        <v>Dispositivo de proteção contra surto de tensão DPS 60kA - 275v</v>
      </c>
      <c r="C44" s="19"/>
      <c r="D44" s="19"/>
      <c r="E44" s="19"/>
      <c r="F44" s="19"/>
      <c r="G44" s="19"/>
      <c r="H44" s="19"/>
      <c r="I44" s="25">
        <f>ORÇAMENTO!E46</f>
        <v>28</v>
      </c>
      <c r="J44" s="25" t="str">
        <f>ORÇAMENTO!D46</f>
        <v>un</v>
      </c>
      <c r="K44" s="204"/>
      <c r="L44"/>
      <c r="M44"/>
      <c r="N44"/>
      <c r="O44" s="13"/>
    </row>
    <row r="45" spans="1:15" ht="39">
      <c r="A45" s="17" t="s">
        <v>420</v>
      </c>
      <c r="B45" s="18" t="str">
        <f>ORÇAMENTO!C47</f>
        <v>Quadro de distribuição de sobrepor, em resina termoplástica, para até 08 disjuntores, sem barramento, padrão DIN, exclusive disjuntores</v>
      </c>
      <c r="C45" s="19"/>
      <c r="D45" s="19"/>
      <c r="E45" s="19"/>
      <c r="F45" s="19"/>
      <c r="G45" s="19"/>
      <c r="H45" s="19"/>
      <c r="I45" s="25">
        <f>ORÇAMENTO!E47</f>
        <v>31</v>
      </c>
      <c r="J45" s="25" t="str">
        <f>ORÇAMENTO!D47</f>
        <v>und</v>
      </c>
      <c r="K45" s="204"/>
      <c r="L45"/>
      <c r="M45"/>
      <c r="N45"/>
      <c r="O45" s="13"/>
    </row>
    <row r="46" spans="1:15" ht="51.75">
      <c r="A46" s="17" t="s">
        <v>421</v>
      </c>
      <c r="B46" s="18" t="str">
        <f>ORÇAMENTO!C48</f>
        <v>QUADRO DE DISTRIBUIÇÃO DE ENERGIA EM CHAPA DE AÇO GALVANIZADO, DE EMBUTIR, COM BARRAMENTO TRIFÁSICO, PARA 30 DISJUNTORES DIN 150A - FORNECIMENTO E INSTALAÇÃO. AF_10/2020</v>
      </c>
      <c r="C46" s="19"/>
      <c r="D46" s="19"/>
      <c r="E46" s="19"/>
      <c r="F46" s="19"/>
      <c r="G46" s="19"/>
      <c r="H46" s="19"/>
      <c r="I46" s="25">
        <f>ORÇAMENTO!E48</f>
        <v>15</v>
      </c>
      <c r="J46" s="25" t="s">
        <v>487</v>
      </c>
      <c r="K46" s="204"/>
      <c r="L46"/>
      <c r="M46"/>
      <c r="N46"/>
      <c r="O46" s="13"/>
    </row>
    <row r="47" spans="1:15" ht="26.25">
      <c r="A47" s="17" t="s">
        <v>422</v>
      </c>
      <c r="B47" s="18" t="str">
        <f>ORÇAMENTO!C49</f>
        <v>CAPTOR TIPO FRANKLIN PARA SPDA - FORNECIMENTO E INSTALAÇÃO. AF_12/2017</v>
      </c>
      <c r="C47" s="19"/>
      <c r="D47" s="19"/>
      <c r="E47" s="19"/>
      <c r="F47" s="19"/>
      <c r="G47" s="19"/>
      <c r="H47" s="19"/>
      <c r="I47" s="25">
        <f>ORÇAMENTO!E49</f>
        <v>20</v>
      </c>
      <c r="J47" s="25" t="str">
        <f>ORÇAMENTO!D49</f>
        <v>UN</v>
      </c>
      <c r="K47" s="204"/>
      <c r="L47"/>
      <c r="M47"/>
      <c r="N47"/>
      <c r="O47" s="13"/>
    </row>
    <row r="48" spans="1:15" ht="26.25">
      <c r="A48" s="17" t="s">
        <v>423</v>
      </c>
      <c r="B48" s="18" t="str">
        <f>ORÇAMENTO!C50</f>
        <v>Poste circular de concreto 12/400 - Fornecimento e assentamento</v>
      </c>
      <c r="C48" s="19"/>
      <c r="D48" s="275"/>
      <c r="E48" s="19"/>
      <c r="F48" s="19"/>
      <c r="G48" s="19"/>
      <c r="H48" s="19"/>
      <c r="I48" s="25">
        <f>ORÇAMENTO!E50</f>
        <v>18</v>
      </c>
      <c r="J48" s="25" t="str">
        <f>ORÇAMENTO!D50</f>
        <v>un</v>
      </c>
      <c r="K48" s="204"/>
      <c r="L48"/>
      <c r="M48"/>
      <c r="N48"/>
      <c r="O48" s="13"/>
    </row>
    <row r="49" spans="1:15" ht="15">
      <c r="A49" s="17" t="s">
        <v>424</v>
      </c>
      <c r="B49" s="18" t="str">
        <f>ORÇAMENTO!C51</f>
        <v>Cabo de aluminio nu acsr/caa 6 fios - 2/0 awg - fornecimento</v>
      </c>
      <c r="C49" s="19"/>
      <c r="D49" s="275"/>
      <c r="E49" s="19"/>
      <c r="F49" s="19"/>
      <c r="G49" s="19"/>
      <c r="H49" s="19"/>
      <c r="I49" s="25">
        <f>ORÇAMENTO!E51</f>
        <v>40</v>
      </c>
      <c r="J49" s="25" t="str">
        <f>ORÇAMENTO!D51</f>
        <v>kg</v>
      </c>
      <c r="K49" s="204"/>
      <c r="L49"/>
      <c r="M49"/>
      <c r="N49"/>
      <c r="O49" s="13"/>
    </row>
    <row r="50" spans="1:15" ht="39">
      <c r="A50" s="17" t="s">
        <v>425</v>
      </c>
      <c r="B50" s="18" t="str">
        <f>ORÇAMENTO!C52</f>
        <v>Pára-raio tipo Franklin 350mm, latão cromado, para descida 2 cabos, c/suporte e conectores p/cabo terra,  inclusive mastro aço galv 6mx2" e base</v>
      </c>
      <c r="C50" s="19"/>
      <c r="D50" s="275"/>
      <c r="E50" s="19"/>
      <c r="F50" s="19"/>
      <c r="G50" s="19"/>
      <c r="H50" s="19"/>
      <c r="I50" s="25">
        <f>ORÇAMENTO!E52</f>
        <v>20</v>
      </c>
      <c r="J50" s="25" t="str">
        <f>ORÇAMENTO!D52</f>
        <v>un</v>
      </c>
      <c r="K50" s="204"/>
      <c r="L50"/>
      <c r="M50"/>
      <c r="N50"/>
      <c r="O50" s="13"/>
    </row>
    <row r="51" spans="1:15" ht="26.25">
      <c r="A51" s="17" t="s">
        <v>426</v>
      </c>
      <c r="B51" s="18" t="str">
        <f>ORÇAMENTO!C53</f>
        <v>Cabo de cobre nú 35 mm2 - fornecimento e assentamento (3,16m/kg)</v>
      </c>
      <c r="C51" s="19"/>
      <c r="D51" s="275"/>
      <c r="E51" s="19"/>
      <c r="F51" s="19"/>
      <c r="G51" s="19"/>
      <c r="H51" s="19"/>
      <c r="I51" s="25">
        <f>ORÇAMENTO!E53</f>
        <v>966.4</v>
      </c>
      <c r="J51" s="25" t="str">
        <f>ORÇAMENTO!D53</f>
        <v>kg</v>
      </c>
      <c r="K51" s="204"/>
      <c r="L51"/>
      <c r="M51"/>
      <c r="N51"/>
      <c r="O51" s="13"/>
    </row>
    <row r="52" spans="1:15" ht="15">
      <c r="A52" s="17" t="s">
        <v>427</v>
      </c>
      <c r="B52" s="18" t="str">
        <f>ORÇAMENTO!C54</f>
        <v>Suporte guia simples Tel-220</v>
      </c>
      <c r="C52" s="19"/>
      <c r="D52" s="275"/>
      <c r="E52" s="19"/>
      <c r="F52" s="19"/>
      <c r="G52" s="19"/>
      <c r="H52" s="19"/>
      <c r="I52" s="25">
        <f>ORÇAMENTO!E54</f>
        <v>252</v>
      </c>
      <c r="J52" s="25" t="str">
        <f>ORÇAMENTO!D54</f>
        <v>un</v>
      </c>
      <c r="K52" s="204"/>
      <c r="L52"/>
      <c r="M52"/>
      <c r="N52"/>
      <c r="O52" s="13"/>
    </row>
    <row r="53" spans="1:15" ht="26.25">
      <c r="A53" s="17" t="s">
        <v>486</v>
      </c>
      <c r="B53" s="18" t="str">
        <f>ORÇAMENTO!C55</f>
        <v>Captor tipo terminal aéreo, h= 300 mm, diâmetro de 1/4´ em cobre</v>
      </c>
      <c r="C53" s="19"/>
      <c r="D53" s="275"/>
      <c r="E53" s="19"/>
      <c r="F53" s="19"/>
      <c r="G53" s="19"/>
      <c r="H53" s="19"/>
      <c r="I53" s="25">
        <f>ORÇAMENTO!E55</f>
        <v>85</v>
      </c>
      <c r="J53" s="25" t="str">
        <f>ORÇAMENTO!D55</f>
        <v>UN</v>
      </c>
      <c r="K53" s="204"/>
      <c r="L53"/>
      <c r="M53"/>
      <c r="N53"/>
      <c r="O53" s="13"/>
    </row>
    <row r="54" spans="1:15" ht="26.25">
      <c r="A54" s="17" t="s">
        <v>507</v>
      </c>
      <c r="B54" s="18" t="str">
        <f>ORÇAMENTO!C56</f>
        <v>Conector split bolt em latão estanhado com furo vertical Ø=10mm, para cabos 35 a 70mm2 - TEL-5021</v>
      </c>
      <c r="C54" s="19"/>
      <c r="D54" s="275"/>
      <c r="E54" s="19"/>
      <c r="F54" s="19"/>
      <c r="G54" s="19"/>
      <c r="H54" s="19"/>
      <c r="I54" s="25">
        <f>ORÇAMENTO!E56</f>
        <v>85</v>
      </c>
      <c r="J54" s="25" t="str">
        <f>ORÇAMENTO!D56</f>
        <v>un</v>
      </c>
      <c r="K54" s="204"/>
      <c r="L54"/>
      <c r="M54"/>
      <c r="N54"/>
      <c r="O54" s="13"/>
    </row>
    <row r="55" spans="1:15" ht="15">
      <c r="A55" s="17" t="s">
        <v>508</v>
      </c>
      <c r="B55" s="18" t="str">
        <f>ORÇAMENTO!C57</f>
        <v>Fornecimento de elo fusível tipo 10k, comp.= 500mm</v>
      </c>
      <c r="C55" s="19"/>
      <c r="D55" s="275"/>
      <c r="E55" s="19"/>
      <c r="F55" s="19"/>
      <c r="G55" s="19"/>
      <c r="H55" s="19"/>
      <c r="I55" s="25">
        <f>ORÇAMENTO!E57</f>
        <v>50</v>
      </c>
      <c r="J55" s="25" t="str">
        <f>ORÇAMENTO!D57</f>
        <v>und</v>
      </c>
      <c r="K55" s="204"/>
      <c r="L55"/>
      <c r="M55"/>
      <c r="N55"/>
      <c r="O55" s="13"/>
    </row>
    <row r="56" spans="1:15" ht="15">
      <c r="A56" s="17" t="s">
        <v>517</v>
      </c>
      <c r="B56" s="18" t="str">
        <f>ORÇAMENTO!C58</f>
        <v>Fornecimento de elo fusível tipo 2 h, comp.= 500mm</v>
      </c>
      <c r="C56" s="19"/>
      <c r="D56" s="275"/>
      <c r="E56" s="19"/>
      <c r="F56" s="19"/>
      <c r="G56" s="19"/>
      <c r="H56" s="19"/>
      <c r="I56" s="25">
        <f>ORÇAMENTO!E58</f>
        <v>50</v>
      </c>
      <c r="J56" s="25" t="str">
        <f>ORÇAMENTO!D58</f>
        <v>und</v>
      </c>
      <c r="K56" s="204"/>
      <c r="L56"/>
      <c r="M56"/>
      <c r="N56"/>
      <c r="O56" s="13"/>
    </row>
    <row r="57" spans="1:15" ht="15">
      <c r="A57" s="17" t="s">
        <v>518</v>
      </c>
      <c r="B57" s="18" t="str">
        <f>ORÇAMENTO!C59</f>
        <v>Fornecimento de elo fusível tipo 3 h, comp.= 500mm</v>
      </c>
      <c r="C57" s="19"/>
      <c r="D57" s="275"/>
      <c r="E57" s="19"/>
      <c r="F57" s="19"/>
      <c r="G57" s="19"/>
      <c r="H57" s="19"/>
      <c r="I57" s="25">
        <f>ORÇAMENTO!E59</f>
        <v>20</v>
      </c>
      <c r="J57" s="25" t="str">
        <f>ORÇAMENTO!D59</f>
        <v>und</v>
      </c>
      <c r="K57" s="204"/>
      <c r="L57"/>
      <c r="M57"/>
      <c r="N57"/>
      <c r="O57" s="13"/>
    </row>
    <row r="58" spans="1:15" ht="26.25">
      <c r="A58" s="17" t="s">
        <v>519</v>
      </c>
      <c r="B58" s="18" t="str">
        <f>ORÇAMENTO!C60</f>
        <v>Fornecimento de chave fusível 15kv - 100a, ruptura assim. 10 ka</v>
      </c>
      <c r="C58" s="19"/>
      <c r="D58" s="275"/>
      <c r="E58" s="19"/>
      <c r="F58" s="19"/>
      <c r="G58" s="19"/>
      <c r="H58" s="19"/>
      <c r="I58" s="25">
        <f>ORÇAMENTO!E60</f>
        <v>10</v>
      </c>
      <c r="J58" s="25" t="str">
        <f>ORÇAMENTO!D60</f>
        <v>und</v>
      </c>
      <c r="K58" s="204"/>
      <c r="L58"/>
      <c r="M58"/>
      <c r="N58"/>
      <c r="O58" s="13"/>
    </row>
    <row r="59" spans="1:15" ht="15">
      <c r="A59" s="17" t="s">
        <v>533</v>
      </c>
      <c r="B59" s="18" t="str">
        <f>ORÇAMENTO!C61</f>
        <v>Elo fusível Distribuição 15kV 40k 500mm</v>
      </c>
      <c r="C59" s="19"/>
      <c r="D59" s="275"/>
      <c r="E59" s="19"/>
      <c r="F59" s="19"/>
      <c r="G59" s="19"/>
      <c r="H59" s="19"/>
      <c r="I59" s="25">
        <f>ORÇAMENTO!E61</f>
        <v>50</v>
      </c>
      <c r="J59" s="25" t="str">
        <f>ORÇAMENTO!D61</f>
        <v>und</v>
      </c>
      <c r="K59" s="204"/>
      <c r="L59"/>
      <c r="M59"/>
      <c r="N59"/>
      <c r="O59" s="13"/>
    </row>
    <row r="60" spans="1:15" ht="26.25">
      <c r="A60" s="17" t="s">
        <v>538</v>
      </c>
      <c r="B60" s="18" t="str">
        <f>ORÇAMENTO!C62</f>
        <v>VARA DE MANOBRA DE FENOLITE EM 15KV, COM PRIMENTO DE 3M</v>
      </c>
      <c r="C60" s="19"/>
      <c r="D60" s="275"/>
      <c r="E60" s="19"/>
      <c r="F60" s="19"/>
      <c r="G60" s="19"/>
      <c r="H60" s="19"/>
      <c r="I60" s="25">
        <f>ORÇAMENTO!E62</f>
        <v>3</v>
      </c>
      <c r="J60" s="25" t="str">
        <f>ORÇAMENTO!D62</f>
        <v>und</v>
      </c>
      <c r="K60" s="204"/>
      <c r="L60"/>
      <c r="M60"/>
      <c r="N60"/>
      <c r="O60" s="13"/>
    </row>
    <row r="61" spans="1:15" ht="15.75">
      <c r="A61" s="212">
        <v>7</v>
      </c>
      <c r="B61" s="212" t="str">
        <f>ORÇAMENTO!C63</f>
        <v xml:space="preserve">PISO </v>
      </c>
      <c r="C61" s="230"/>
      <c r="D61" s="214"/>
      <c r="E61" s="214"/>
      <c r="F61" s="214"/>
      <c r="G61" s="214"/>
      <c r="H61" s="214"/>
      <c r="I61" s="214"/>
      <c r="J61" s="212"/>
      <c r="K61" s="212"/>
    </row>
    <row r="62" spans="1:15" ht="39">
      <c r="A62" s="17" t="s">
        <v>120</v>
      </c>
      <c r="B62" s="18" t="str">
        <f>ORÇAMENTO!C64</f>
        <v>Contrapiso em argamassa traço 1:4 (cimento e areia), preparo mecânico com betoneira 400l, aplicado em áreas secas, sobre laje, aderido, espessura 3 cm.</v>
      </c>
      <c r="C62" s="19"/>
      <c r="D62" s="19"/>
      <c r="E62" s="19"/>
      <c r="F62" s="19"/>
      <c r="G62" s="19"/>
      <c r="H62" s="19"/>
      <c r="I62" s="25">
        <f>'RASCUNHO QUANT'!C142</f>
        <v>22</v>
      </c>
      <c r="J62" s="25" t="str">
        <f>ORÇAMENTO!D64</f>
        <v>m²</v>
      </c>
      <c r="K62" s="205"/>
      <c r="L62" s="13"/>
      <c r="M62" s="13"/>
      <c r="N62" s="13"/>
      <c r="O62" s="13"/>
    </row>
    <row r="63" spans="1:15" ht="51.75">
      <c r="A63" s="17" t="s">
        <v>72</v>
      </c>
      <c r="B63" s="18" t="str">
        <f>ORÇAMENTO!C65</f>
        <v>EXECUÇÃO DE PASSEIO (CALÇADA) OU PISO DE CONCRETO COM CONCRETO MOLDADO IN LOCO, FEITO EM OBRA, ACABAMENTO CONVENCIONAL, NÃO ARMADO. AF_08/2022</v>
      </c>
      <c r="C63" s="19"/>
      <c r="D63" s="19"/>
      <c r="E63" s="19"/>
      <c r="F63" s="19"/>
      <c r="G63" s="19"/>
      <c r="H63" s="19"/>
      <c r="I63" s="25">
        <f>'RASCUNHO QUANT'!C143*0.06</f>
        <v>9.2973600000000012</v>
      </c>
      <c r="J63" s="25" t="str">
        <f>ORÇAMENTO!D65</f>
        <v>m³</v>
      </c>
      <c r="K63" s="205"/>
      <c r="L63" s="13"/>
      <c r="M63" s="13"/>
      <c r="N63" s="13"/>
      <c r="O63" s="13"/>
    </row>
    <row r="64" spans="1:15" ht="39">
      <c r="A64" s="17" t="s">
        <v>428</v>
      </c>
      <c r="B64" s="18" t="str">
        <f>ORÇAMENTO!C66</f>
        <v>EXECUÇÃO DE PAVIMENTO EM PISO INTERTRAVADO, COM BLOCO SEXTAVADO DE 25 X 25 CM, ESPESSURA 8 CM. AF_10/2022</v>
      </c>
      <c r="C64" s="19"/>
      <c r="D64" s="19"/>
      <c r="E64" s="19"/>
      <c r="F64" s="19"/>
      <c r="G64" s="19"/>
      <c r="H64" s="19"/>
      <c r="I64" s="25">
        <f>21*0.5</f>
        <v>10.5</v>
      </c>
      <c r="J64" s="25" t="str">
        <f>ORÇAMENTO!D66</f>
        <v>m²</v>
      </c>
      <c r="K64" s="205"/>
      <c r="L64" s="13"/>
      <c r="M64" s="13"/>
      <c r="N64" s="13"/>
      <c r="O64" s="13"/>
    </row>
    <row r="65" spans="1:15" ht="64.5">
      <c r="A65" s="17" t="s">
        <v>429</v>
      </c>
      <c r="B65" s="18" t="str">
        <f>ORÇAMENTO!C67</f>
        <v xml:space="preserve">	REASSENTAMENTO DE PARALELEPÍPEDOS, REJUNTAMENTO COM ARGAMASSA, COM REAPROVEITAMENTO DOS PARALELEPÍPEDOS - INCLUSO RETIRADA E COLOCAÇÃO DO MATERIAL. AF_12/2020</v>
      </c>
      <c r="C65" s="19"/>
      <c r="D65" s="19"/>
      <c r="E65" s="19"/>
      <c r="F65" s="19"/>
      <c r="G65" s="19"/>
      <c r="H65" s="19"/>
      <c r="I65" s="25">
        <f>'RASCUNHO QUANT'!C145</f>
        <v>197.66</v>
      </c>
      <c r="J65" s="25" t="str">
        <f>ORÇAMENTO!D67</f>
        <v>m²</v>
      </c>
      <c r="K65" s="205"/>
      <c r="L65" s="13"/>
      <c r="M65" s="13"/>
      <c r="N65" s="13"/>
      <c r="O65" s="13"/>
    </row>
    <row r="66" spans="1:15" ht="39">
      <c r="A66" s="17" t="s">
        <v>430</v>
      </c>
      <c r="B66" s="18" t="str">
        <f>ORÇAMENTO!C68</f>
        <v>PISO PODOTÁTIL DE ALERTA OU DIRECIONAL, DE BORRACHA, ASSENTADO SOBRE ARGAMASSA. AF_05/2020</v>
      </c>
      <c r="C66" s="19"/>
      <c r="D66" s="19"/>
      <c r="E66" s="19"/>
      <c r="F66" s="19"/>
      <c r="G66" s="19"/>
      <c r="H66" s="19"/>
      <c r="I66" s="25">
        <v>10</v>
      </c>
      <c r="J66" s="25" t="s">
        <v>459</v>
      </c>
      <c r="K66" s="205"/>
      <c r="L66" s="13"/>
      <c r="M66" s="13"/>
      <c r="N66" s="13"/>
      <c r="O66" s="13"/>
    </row>
    <row r="67" spans="1:15" ht="51.75">
      <c r="A67" s="17" t="s">
        <v>431</v>
      </c>
      <c r="B67" s="18" t="str">
        <f>ORÇAMENTO!C69</f>
        <v xml:space="preserve">	REVESTIMENTO CERÂMICO PARA PISO COM PLACAS TIPO ESMALTADA EXTRA DE DIMENSÕES 45X45 CM APLICADA EM AMBIENTES DE ÁREA MAIOR QUE 10 M2. AF_02/2023_PE</v>
      </c>
      <c r="C67" s="19"/>
      <c r="D67" s="19"/>
      <c r="E67" s="19"/>
      <c r="F67" s="19"/>
      <c r="G67" s="19"/>
      <c r="H67" s="19"/>
      <c r="I67" s="25">
        <f>'RASCUNHO QUANT'!C142</f>
        <v>22</v>
      </c>
      <c r="J67" s="25" t="str">
        <f>ORÇAMENTO!D69</f>
        <v>m²</v>
      </c>
      <c r="K67" s="205"/>
      <c r="L67" s="13"/>
      <c r="M67" s="13"/>
      <c r="N67" s="13"/>
      <c r="O67" s="13"/>
    </row>
    <row r="68" spans="1:15" ht="26.25">
      <c r="A68" s="17" t="s">
        <v>432</v>
      </c>
      <c r="B68" s="18" t="str">
        <f>ORÇAMENTO!C70</f>
        <v>(REVISADA) - PASSEIO EM PLACAS PRE-MOLDADAS DE CONCRETO ARMADO</v>
      </c>
      <c r="C68" s="19"/>
      <c r="D68" s="19"/>
      <c r="E68" s="19"/>
      <c r="F68" s="19"/>
      <c r="G68" s="19"/>
      <c r="H68" s="19"/>
      <c r="I68" s="25">
        <f>'RASCUNHO QUANT'!C144</f>
        <v>109.12</v>
      </c>
      <c r="J68" s="25" t="str">
        <f>ORÇAMENTO!D70</f>
        <v>m²</v>
      </c>
      <c r="K68" s="205"/>
      <c r="L68" s="13"/>
      <c r="M68" s="13"/>
      <c r="N68" s="13"/>
      <c r="O68" s="13"/>
    </row>
    <row r="69" spans="1:15" ht="15.75">
      <c r="A69" s="212">
        <v>8</v>
      </c>
      <c r="B69" s="212" t="str">
        <f>ORÇAMENTO!C71</f>
        <v>PINTURA</v>
      </c>
      <c r="C69" s="213"/>
      <c r="D69" s="214"/>
      <c r="E69" s="214"/>
      <c r="F69" s="214"/>
      <c r="G69" s="214"/>
      <c r="H69" s="214"/>
      <c r="I69" s="214"/>
      <c r="J69" s="212"/>
      <c r="K69" s="212"/>
    </row>
    <row r="70" spans="1:15" ht="64.5">
      <c r="A70" s="17" t="s">
        <v>121</v>
      </c>
      <c r="B70" s="18" t="str">
        <f>ORÇAMENTO!C72</f>
        <v>PINTURA COM TINTA ALQUÍDICA DE ACABAMENTO (ESMALTE SINTÉTICO ACETINADO) APLICADA A ROLO OU PINCEL SOBRE SUPERFÍCIES METÁLICAS (EXCETO PERFIL) EXECUTADO EM OBRA (02 DEMÃOS). AF_01/2020</v>
      </c>
      <c r="C70" s="19"/>
      <c r="D70" s="19"/>
      <c r="E70" s="19"/>
      <c r="F70" s="19"/>
      <c r="G70" s="19"/>
      <c r="H70" s="19"/>
      <c r="I70" s="25">
        <v>5</v>
      </c>
      <c r="J70" s="25" t="s">
        <v>3</v>
      </c>
      <c r="K70" s="205"/>
      <c r="L70" s="13"/>
      <c r="M70" s="13"/>
      <c r="N70" s="13"/>
      <c r="O70" s="13"/>
    </row>
    <row r="71" spans="1:15" ht="15.75">
      <c r="A71" s="212">
        <v>9</v>
      </c>
      <c r="B71" s="212" t="str">
        <f>ORÇAMENTO!C73</f>
        <v>SERVIÇOS COMPLEMENTARES</v>
      </c>
      <c r="C71" s="213"/>
      <c r="D71" s="214"/>
      <c r="E71" s="214"/>
      <c r="F71" s="214"/>
      <c r="G71" s="214"/>
      <c r="H71" s="214"/>
      <c r="I71" s="214"/>
      <c r="J71" s="212"/>
      <c r="K71" s="212"/>
    </row>
    <row r="72" spans="1:15" ht="15">
      <c r="A72" s="17" t="s">
        <v>68</v>
      </c>
      <c r="B72" s="18" t="str">
        <f>ORÇAMENTO!C74</f>
        <v>Limpeza geral</v>
      </c>
      <c r="C72" s="19"/>
      <c r="D72" s="19"/>
      <c r="E72" s="19"/>
      <c r="F72" s="19"/>
      <c r="G72" s="19"/>
      <c r="H72" s="19"/>
      <c r="I72" s="25">
        <v>500</v>
      </c>
      <c r="J72" s="25" t="str">
        <f>ORÇAMENTO!D74</f>
        <v>m²</v>
      </c>
      <c r="K72" s="203"/>
      <c r="L72" s="13"/>
      <c r="M72" s="13"/>
      <c r="N72" s="13"/>
      <c r="O72" s="13"/>
    </row>
    <row r="73" spans="1:15" ht="14.25">
      <c r="A73"/>
      <c r="B73"/>
      <c r="C73"/>
      <c r="D73"/>
      <c r="E73"/>
      <c r="F73"/>
      <c r="G73"/>
      <c r="H73"/>
      <c r="I73"/>
      <c r="J73"/>
    </row>
    <row r="74" spans="1:15" ht="14.25">
      <c r="A74"/>
      <c r="B74"/>
      <c r="C74"/>
      <c r="D74"/>
      <c r="E74"/>
      <c r="F74"/>
      <c r="G74"/>
      <c r="H74"/>
      <c r="I74"/>
      <c r="J74"/>
    </row>
    <row r="75" spans="1:15" ht="14.25">
      <c r="A75"/>
      <c r="B75"/>
      <c r="C75"/>
      <c r="D75"/>
      <c r="E75"/>
      <c r="F75"/>
      <c r="G75"/>
      <c r="H75"/>
      <c r="I75"/>
      <c r="J75"/>
    </row>
    <row r="76" spans="1:15" ht="14.25">
      <c r="A76"/>
      <c r="B76"/>
      <c r="C76"/>
      <c r="D76"/>
      <c r="E76"/>
      <c r="F76"/>
      <c r="G76"/>
      <c r="H76"/>
      <c r="I76"/>
      <c r="J76"/>
    </row>
    <row r="77" spans="1:15" ht="14.25">
      <c r="A77"/>
      <c r="B77"/>
      <c r="C77"/>
      <c r="D77"/>
      <c r="E77"/>
      <c r="F77"/>
      <c r="G77"/>
      <c r="H77"/>
      <c r="I77"/>
      <c r="J77"/>
    </row>
    <row r="78" spans="1:15" ht="14.25">
      <c r="A78"/>
      <c r="B78"/>
      <c r="C78"/>
      <c r="D78"/>
      <c r="E78"/>
      <c r="F78"/>
      <c r="G78"/>
      <c r="H78"/>
      <c r="I78"/>
      <c r="J78"/>
    </row>
    <row r="79" spans="1:15" ht="14.25">
      <c r="A79"/>
      <c r="B79"/>
      <c r="C79"/>
      <c r="D79"/>
      <c r="E79"/>
      <c r="F79"/>
      <c r="G79"/>
      <c r="H79"/>
      <c r="I79"/>
      <c r="J79"/>
    </row>
    <row r="80" spans="1:15" ht="14.25">
      <c r="A80"/>
      <c r="B80"/>
      <c r="C80"/>
      <c r="D80"/>
      <c r="E80"/>
      <c r="F80"/>
      <c r="G80"/>
      <c r="H80"/>
      <c r="I80"/>
      <c r="J80"/>
    </row>
    <row r="81" spans="1:10" ht="14.25">
      <c r="A81"/>
      <c r="B81"/>
      <c r="C81"/>
      <c r="D81"/>
      <c r="E81"/>
      <c r="F81"/>
      <c r="G81"/>
      <c r="H81"/>
      <c r="I81"/>
      <c r="J81"/>
    </row>
    <row r="82" spans="1:10" ht="14.25">
      <c r="A82"/>
      <c r="B82"/>
      <c r="C82"/>
      <c r="D82"/>
      <c r="E82"/>
      <c r="F82"/>
      <c r="G82"/>
      <c r="H82"/>
      <c r="I82"/>
      <c r="J82"/>
    </row>
    <row r="83" spans="1:10" ht="14.25">
      <c r="A83"/>
      <c r="B83"/>
      <c r="C83"/>
      <c r="D83"/>
      <c r="E83"/>
      <c r="F83"/>
      <c r="G83"/>
      <c r="H83"/>
      <c r="I83"/>
      <c r="J83"/>
    </row>
    <row r="84" spans="1:10" ht="14.25">
      <c r="A84"/>
      <c r="B84"/>
      <c r="C84"/>
      <c r="D84"/>
      <c r="E84"/>
      <c r="F84"/>
      <c r="G84"/>
      <c r="H84"/>
      <c r="I84"/>
      <c r="J84"/>
    </row>
    <row r="85" spans="1:10" ht="14.25">
      <c r="A85"/>
      <c r="B85"/>
      <c r="C85"/>
      <c r="D85"/>
      <c r="E85"/>
      <c r="F85"/>
      <c r="G85"/>
      <c r="H85"/>
      <c r="I85"/>
      <c r="J85"/>
    </row>
    <row r="86" spans="1:10" ht="14.25">
      <c r="A86"/>
      <c r="B86"/>
      <c r="C86"/>
      <c r="D86"/>
      <c r="E86"/>
      <c r="F86"/>
      <c r="G86"/>
      <c r="H86"/>
      <c r="I86"/>
      <c r="J86"/>
    </row>
    <row r="87" spans="1:10" ht="14.25">
      <c r="A87"/>
      <c r="B87"/>
      <c r="C87"/>
      <c r="D87"/>
      <c r="E87"/>
      <c r="F87"/>
      <c r="G87"/>
      <c r="H87"/>
      <c r="I87"/>
      <c r="J87"/>
    </row>
    <row r="88" spans="1:10" ht="14.25">
      <c r="A88"/>
      <c r="B88"/>
      <c r="C88"/>
      <c r="D88"/>
      <c r="E88"/>
      <c r="F88"/>
      <c r="G88"/>
      <c r="H88"/>
      <c r="I88"/>
      <c r="J88"/>
    </row>
    <row r="89" spans="1:10" ht="14.25">
      <c r="A89"/>
      <c r="B89"/>
      <c r="C89"/>
      <c r="D89"/>
      <c r="E89"/>
      <c r="F89"/>
      <c r="G89"/>
      <c r="H89"/>
      <c r="I89"/>
      <c r="J89"/>
    </row>
    <row r="90" spans="1:10" ht="14.25">
      <c r="A90"/>
      <c r="B90"/>
      <c r="C90"/>
      <c r="D90"/>
      <c r="E90"/>
      <c r="F90"/>
      <c r="G90"/>
      <c r="H90"/>
      <c r="I90"/>
      <c r="J90"/>
    </row>
    <row r="91" spans="1:10" ht="14.25">
      <c r="A91"/>
      <c r="B91"/>
      <c r="C91"/>
      <c r="D91"/>
      <c r="E91"/>
      <c r="F91"/>
      <c r="G91"/>
      <c r="H91"/>
      <c r="I91"/>
      <c r="J91"/>
    </row>
    <row r="92" spans="1:10" ht="14.25">
      <c r="A92"/>
      <c r="B92"/>
      <c r="C92"/>
      <c r="D92"/>
      <c r="E92"/>
      <c r="F92"/>
      <c r="G92"/>
      <c r="H92"/>
      <c r="I92"/>
      <c r="J92"/>
    </row>
    <row r="93" spans="1:10" ht="14.25">
      <c r="A93"/>
      <c r="B93"/>
      <c r="C93"/>
      <c r="D93"/>
      <c r="E93"/>
      <c r="F93"/>
      <c r="G93"/>
      <c r="H93"/>
      <c r="I93"/>
      <c r="J93"/>
    </row>
    <row r="94" spans="1:10" ht="14.25">
      <c r="A94"/>
      <c r="B94"/>
      <c r="C94"/>
      <c r="D94"/>
      <c r="E94"/>
      <c r="F94"/>
      <c r="G94"/>
      <c r="H94"/>
      <c r="I94"/>
      <c r="J94"/>
    </row>
    <row r="95" spans="1:10" ht="14.25">
      <c r="A95"/>
      <c r="B95"/>
      <c r="C95"/>
      <c r="D95"/>
      <c r="E95"/>
      <c r="F95"/>
      <c r="G95"/>
      <c r="H95"/>
      <c r="I95"/>
      <c r="J95"/>
    </row>
    <row r="96" spans="1:10" ht="14.25">
      <c r="A96"/>
      <c r="B96"/>
      <c r="C96"/>
      <c r="D96"/>
      <c r="E96"/>
      <c r="F96"/>
      <c r="G96"/>
      <c r="H96"/>
      <c r="I96"/>
      <c r="J96"/>
    </row>
    <row r="97" spans="1:10" ht="14.25">
      <c r="A97"/>
      <c r="B97"/>
      <c r="C97"/>
      <c r="D97"/>
      <c r="E97"/>
      <c r="F97"/>
      <c r="G97"/>
      <c r="H97"/>
      <c r="I97"/>
      <c r="J97"/>
    </row>
    <row r="98" spans="1:10" ht="14.25">
      <c r="A98"/>
      <c r="B98"/>
      <c r="C98"/>
      <c r="D98"/>
      <c r="E98"/>
      <c r="F98"/>
      <c r="G98"/>
      <c r="H98"/>
      <c r="I98"/>
      <c r="J98"/>
    </row>
    <row r="99" spans="1:10" ht="14.25">
      <c r="A99"/>
      <c r="B99"/>
      <c r="C99"/>
      <c r="D99"/>
      <c r="E99"/>
      <c r="F99"/>
      <c r="G99"/>
      <c r="H99"/>
      <c r="I99"/>
      <c r="J99"/>
    </row>
    <row r="100" spans="1:10" ht="14.25">
      <c r="A100"/>
      <c r="B100"/>
      <c r="C100"/>
      <c r="D100"/>
      <c r="E100"/>
      <c r="F100"/>
      <c r="G100"/>
      <c r="H100"/>
      <c r="I100"/>
      <c r="J100"/>
    </row>
    <row r="101" spans="1:10" ht="14.25">
      <c r="A101"/>
      <c r="B101"/>
      <c r="C101"/>
      <c r="D101"/>
      <c r="E101"/>
      <c r="F101"/>
      <c r="G101"/>
      <c r="H101"/>
      <c r="I101"/>
      <c r="J101"/>
    </row>
    <row r="102" spans="1:10" ht="14.25">
      <c r="A102"/>
      <c r="B102"/>
      <c r="C102"/>
      <c r="D102"/>
      <c r="E102"/>
      <c r="F102"/>
      <c r="G102"/>
      <c r="H102"/>
      <c r="I102"/>
      <c r="J102"/>
    </row>
    <row r="103" spans="1:10" ht="14.25">
      <c r="A103"/>
      <c r="B103"/>
      <c r="C103"/>
      <c r="D103"/>
      <c r="E103"/>
      <c r="F103"/>
      <c r="G103"/>
      <c r="H103"/>
      <c r="I103"/>
      <c r="J103"/>
    </row>
    <row r="104" spans="1:10" ht="14.25">
      <c r="A104"/>
      <c r="B104"/>
      <c r="C104"/>
      <c r="D104"/>
      <c r="E104"/>
      <c r="F104"/>
      <c r="G104"/>
      <c r="H104"/>
      <c r="I104"/>
      <c r="J104"/>
    </row>
    <row r="105" spans="1:10" ht="14.25">
      <c r="A105"/>
      <c r="B105"/>
      <c r="C105"/>
      <c r="D105"/>
      <c r="E105"/>
      <c r="F105"/>
      <c r="G105"/>
      <c r="H105"/>
      <c r="I105"/>
      <c r="J105"/>
    </row>
    <row r="106" spans="1:10" ht="14.25">
      <c r="A106"/>
      <c r="B106"/>
      <c r="C106"/>
      <c r="D106"/>
      <c r="E106"/>
      <c r="F106"/>
      <c r="G106"/>
      <c r="H106"/>
      <c r="I106"/>
      <c r="J106"/>
    </row>
    <row r="107" spans="1:10" ht="14.25">
      <c r="A107"/>
      <c r="B107"/>
      <c r="C107"/>
      <c r="D107"/>
      <c r="E107"/>
      <c r="F107"/>
      <c r="G107"/>
      <c r="H107"/>
      <c r="I107"/>
      <c r="J107"/>
    </row>
    <row r="108" spans="1:10" ht="14.25">
      <c r="A108"/>
      <c r="B108"/>
      <c r="C108"/>
      <c r="D108"/>
      <c r="E108"/>
      <c r="F108"/>
      <c r="G108"/>
      <c r="H108"/>
      <c r="I108"/>
      <c r="J108"/>
    </row>
    <row r="109" spans="1:10" ht="14.25">
      <c r="A109"/>
      <c r="B109"/>
      <c r="C109"/>
      <c r="D109"/>
      <c r="E109"/>
      <c r="F109"/>
      <c r="G109"/>
      <c r="H109"/>
      <c r="I109"/>
      <c r="J109"/>
    </row>
    <row r="110" spans="1:10" ht="14.25">
      <c r="A110"/>
      <c r="B110"/>
      <c r="C110"/>
      <c r="D110"/>
      <c r="E110"/>
      <c r="F110"/>
      <c r="G110"/>
      <c r="H110"/>
      <c r="I110"/>
      <c r="J110"/>
    </row>
    <row r="111" spans="1:10" ht="14.25">
      <c r="A111"/>
      <c r="B111"/>
      <c r="C111"/>
      <c r="D111"/>
      <c r="E111"/>
      <c r="F111"/>
      <c r="G111"/>
      <c r="H111"/>
      <c r="I111"/>
      <c r="J111"/>
    </row>
    <row r="112" spans="1:10" ht="14.25">
      <c r="A112"/>
      <c r="B112"/>
      <c r="C112"/>
      <c r="D112"/>
      <c r="E112"/>
      <c r="F112"/>
      <c r="G112"/>
      <c r="H112"/>
      <c r="I112"/>
      <c r="J112"/>
    </row>
    <row r="113" spans="1:11" ht="14.25">
      <c r="A113"/>
      <c r="B113"/>
      <c r="C113"/>
      <c r="D113"/>
      <c r="E113"/>
      <c r="F113"/>
      <c r="G113"/>
      <c r="H113"/>
      <c r="I113"/>
      <c r="J113"/>
    </row>
    <row r="114" spans="1:11" ht="14.25">
      <c r="A114"/>
      <c r="B114"/>
      <c r="C114"/>
      <c r="D114"/>
      <c r="E114"/>
      <c r="F114"/>
      <c r="G114"/>
      <c r="H114"/>
      <c r="I114"/>
      <c r="J114"/>
    </row>
    <row r="115" spans="1:11" ht="14.25">
      <c r="A115"/>
      <c r="B115"/>
      <c r="C115"/>
      <c r="D115"/>
      <c r="E115"/>
      <c r="F115"/>
      <c r="G115"/>
      <c r="H115"/>
      <c r="I115"/>
      <c r="J115"/>
    </row>
    <row r="116" spans="1:11" ht="14.25">
      <c r="A116"/>
      <c r="B116"/>
      <c r="C116"/>
      <c r="D116"/>
      <c r="E116"/>
      <c r="F116"/>
      <c r="G116"/>
      <c r="H116"/>
      <c r="I116"/>
      <c r="J116"/>
    </row>
    <row r="117" spans="1:11" ht="14.25">
      <c r="A117"/>
      <c r="B117"/>
      <c r="C117"/>
      <c r="D117"/>
      <c r="E117"/>
      <c r="F117"/>
      <c r="G117"/>
      <c r="H117"/>
      <c r="I117"/>
      <c r="J117"/>
    </row>
    <row r="118" spans="1:11" ht="14.25">
      <c r="A118"/>
      <c r="B118"/>
      <c r="C118"/>
      <c r="D118"/>
      <c r="E118"/>
      <c r="F118"/>
      <c r="G118"/>
      <c r="H118"/>
      <c r="I118"/>
      <c r="J118"/>
    </row>
    <row r="119" spans="1:11" ht="14.25">
      <c r="A119"/>
      <c r="B119"/>
      <c r="C119"/>
      <c r="D119"/>
      <c r="E119"/>
      <c r="F119"/>
      <c r="G119"/>
      <c r="H119"/>
      <c r="I119"/>
      <c r="J119"/>
    </row>
    <row r="120" spans="1:11" ht="14.25">
      <c r="A120"/>
      <c r="B120"/>
      <c r="C120"/>
      <c r="D120"/>
      <c r="E120"/>
      <c r="F120"/>
      <c r="G120"/>
      <c r="H120"/>
      <c r="I120"/>
      <c r="J120"/>
    </row>
    <row r="121" spans="1:11" ht="14.25">
      <c r="A121"/>
      <c r="B121"/>
      <c r="C121"/>
      <c r="D121"/>
      <c r="E121"/>
      <c r="F121"/>
      <c r="G121"/>
      <c r="H121"/>
      <c r="I121"/>
      <c r="J121"/>
    </row>
    <row r="122" spans="1:11" ht="14.25">
      <c r="A122"/>
      <c r="B122"/>
      <c r="C122"/>
      <c r="D122"/>
      <c r="E122"/>
      <c r="F122"/>
      <c r="G122"/>
      <c r="H122"/>
      <c r="I122"/>
      <c r="J122"/>
    </row>
    <row r="123" spans="1:11" ht="14.25">
      <c r="A123"/>
      <c r="B123"/>
      <c r="C123"/>
      <c r="D123"/>
      <c r="E123"/>
      <c r="F123"/>
      <c r="G123"/>
      <c r="H123"/>
      <c r="I123"/>
      <c r="J123"/>
    </row>
    <row r="124" spans="1:11" ht="14.25">
      <c r="A124"/>
      <c r="B124"/>
      <c r="C124"/>
      <c r="D124"/>
      <c r="E124"/>
      <c r="F124"/>
      <c r="G124"/>
      <c r="H124"/>
      <c r="I124"/>
      <c r="J124"/>
    </row>
    <row r="125" spans="1:11" ht="14.25">
      <c r="A125"/>
      <c r="B125"/>
      <c r="C125"/>
      <c r="D125"/>
      <c r="E125"/>
      <c r="F125"/>
      <c r="G125"/>
      <c r="H125"/>
      <c r="I125"/>
      <c r="J125"/>
    </row>
    <row r="126" spans="1:11" ht="14.25">
      <c r="A126"/>
      <c r="B126"/>
      <c r="C126"/>
      <c r="D126"/>
      <c r="E126"/>
      <c r="F126"/>
      <c r="G126"/>
      <c r="H126"/>
      <c r="I126"/>
      <c r="J126"/>
    </row>
    <row r="127" spans="1:11" ht="14.25">
      <c r="A127"/>
      <c r="B127"/>
      <c r="C127"/>
      <c r="D127"/>
      <c r="E127"/>
      <c r="F127"/>
      <c r="G127"/>
      <c r="H127"/>
      <c r="I127"/>
      <c r="J127"/>
      <c r="K127" s="13"/>
    </row>
    <row r="128" spans="1:11" ht="14.25">
      <c r="A128"/>
      <c r="B128"/>
      <c r="C128"/>
      <c r="D128"/>
      <c r="E128"/>
      <c r="F128"/>
      <c r="G128"/>
      <c r="H128"/>
      <c r="I128"/>
      <c r="J128"/>
    </row>
    <row r="129" spans="1:15" ht="14.25">
      <c r="A129"/>
      <c r="B129"/>
      <c r="C129"/>
      <c r="D129"/>
      <c r="E129"/>
      <c r="F129"/>
      <c r="G129"/>
      <c r="H129"/>
      <c r="I129"/>
      <c r="J129"/>
    </row>
    <row r="130" spans="1:15" ht="14.25">
      <c r="A130"/>
      <c r="B130"/>
      <c r="C130"/>
      <c r="D130"/>
      <c r="E130"/>
      <c r="F130"/>
      <c r="G130"/>
      <c r="H130"/>
      <c r="I130"/>
      <c r="J130"/>
    </row>
    <row r="131" spans="1:15" ht="14.25">
      <c r="A131"/>
      <c r="B131"/>
      <c r="C131"/>
      <c r="D131"/>
      <c r="E131"/>
      <c r="F131"/>
      <c r="G131"/>
      <c r="H131"/>
      <c r="I131"/>
      <c r="J131"/>
    </row>
    <row r="132" spans="1:15" ht="14.25">
      <c r="A132"/>
      <c r="B132"/>
      <c r="C132"/>
      <c r="D132"/>
      <c r="E132"/>
      <c r="F132"/>
      <c r="G132"/>
      <c r="H132"/>
      <c r="I132"/>
      <c r="J132"/>
      <c r="K132" s="13"/>
      <c r="O132" s="12">
        <f>I123+I145</f>
        <v>0</v>
      </c>
    </row>
    <row r="133" spans="1:15" ht="14.25">
      <c r="A133"/>
      <c r="B133"/>
      <c r="C133"/>
      <c r="D133"/>
      <c r="E133"/>
      <c r="F133"/>
      <c r="G133"/>
      <c r="H133"/>
      <c r="I133"/>
      <c r="J133"/>
      <c r="O133" s="12" t="e">
        <f>O132-#REF!-#REF!</f>
        <v>#REF!</v>
      </c>
    </row>
    <row r="134" spans="1:15" ht="14.25">
      <c r="A134"/>
      <c r="B134"/>
      <c r="C134"/>
      <c r="D134"/>
      <c r="E134"/>
      <c r="F134"/>
      <c r="G134"/>
      <c r="H134"/>
      <c r="I134"/>
      <c r="J134"/>
      <c r="K134" s="13"/>
    </row>
    <row r="135" spans="1:15" ht="14.25">
      <c r="A135"/>
      <c r="B135"/>
      <c r="C135"/>
      <c r="D135"/>
      <c r="E135"/>
      <c r="F135"/>
      <c r="G135"/>
      <c r="H135"/>
      <c r="I135"/>
      <c r="J135"/>
      <c r="K135" s="13"/>
    </row>
    <row r="136" spans="1:15" ht="14.25">
      <c r="A136"/>
      <c r="B136"/>
      <c r="C136"/>
      <c r="D136"/>
      <c r="E136"/>
      <c r="F136"/>
      <c r="G136"/>
      <c r="H136"/>
      <c r="I136"/>
      <c r="J136"/>
      <c r="K136" s="13"/>
    </row>
    <row r="137" spans="1:15" ht="14.25">
      <c r="A137"/>
      <c r="B137"/>
      <c r="C137"/>
      <c r="D137"/>
      <c r="E137"/>
      <c r="F137"/>
      <c r="G137"/>
      <c r="H137"/>
      <c r="I137"/>
      <c r="J137"/>
      <c r="K137" s="13"/>
    </row>
    <row r="138" spans="1:15" ht="14.25">
      <c r="A138"/>
      <c r="B138"/>
      <c r="C138"/>
      <c r="D138"/>
      <c r="E138"/>
      <c r="F138"/>
      <c r="G138"/>
      <c r="H138"/>
      <c r="I138"/>
      <c r="J138"/>
    </row>
    <row r="139" spans="1:15" ht="14.25">
      <c r="A139"/>
      <c r="B139"/>
      <c r="C139"/>
      <c r="D139"/>
      <c r="E139"/>
      <c r="F139"/>
      <c r="G139"/>
      <c r="H139"/>
      <c r="I139"/>
      <c r="J139"/>
      <c r="K139" s="13"/>
    </row>
    <row r="140" spans="1:15" ht="14.25">
      <c r="A140"/>
      <c r="B140"/>
      <c r="C140"/>
      <c r="D140"/>
      <c r="E140"/>
      <c r="F140"/>
      <c r="G140"/>
      <c r="H140"/>
      <c r="I140"/>
      <c r="J140"/>
      <c r="K140" s="13"/>
    </row>
    <row r="141" spans="1:15" ht="14.25">
      <c r="A141"/>
      <c r="B141"/>
      <c r="C141"/>
      <c r="D141"/>
      <c r="E141"/>
      <c r="F141"/>
      <c r="G141"/>
      <c r="H141"/>
      <c r="I141"/>
      <c r="J141"/>
    </row>
    <row r="142" spans="1:15" ht="14.25">
      <c r="A142"/>
      <c r="B142"/>
      <c r="C142"/>
      <c r="D142"/>
      <c r="E142"/>
      <c r="F142"/>
      <c r="G142"/>
      <c r="H142"/>
      <c r="I142"/>
      <c r="J142"/>
    </row>
    <row r="143" spans="1:15" ht="14.25">
      <c r="A143"/>
      <c r="B143"/>
      <c r="C143"/>
      <c r="D143"/>
      <c r="E143"/>
      <c r="F143"/>
      <c r="G143"/>
      <c r="H143"/>
      <c r="I143"/>
      <c r="J143"/>
    </row>
    <row r="144" spans="1:15" ht="14.25">
      <c r="A144"/>
      <c r="B144"/>
      <c r="C144"/>
      <c r="D144"/>
      <c r="E144"/>
      <c r="F144"/>
      <c r="G144"/>
      <c r="H144"/>
      <c r="I144"/>
      <c r="J144"/>
    </row>
    <row r="145" spans="1:14" ht="14.25">
      <c r="A145"/>
      <c r="B145"/>
      <c r="C145"/>
      <c r="D145"/>
      <c r="E145"/>
      <c r="F145"/>
      <c r="G145"/>
      <c r="H145"/>
      <c r="I145"/>
      <c r="J145"/>
    </row>
    <row r="146" spans="1:14" ht="14.25">
      <c r="A146"/>
      <c r="B146"/>
      <c r="C146"/>
      <c r="D146"/>
      <c r="E146"/>
      <c r="F146"/>
      <c r="G146"/>
      <c r="H146"/>
      <c r="I146"/>
      <c r="J146"/>
      <c r="K146" s="13"/>
    </row>
    <row r="147" spans="1:14" ht="14.25">
      <c r="A147"/>
      <c r="B147"/>
      <c r="C147"/>
      <c r="D147"/>
      <c r="E147"/>
      <c r="F147"/>
      <c r="G147"/>
      <c r="H147"/>
      <c r="I147"/>
      <c r="J147"/>
    </row>
    <row r="148" spans="1:14" ht="14.25">
      <c r="A148"/>
      <c r="B148"/>
      <c r="C148"/>
      <c r="D148"/>
      <c r="E148"/>
      <c r="F148"/>
      <c r="G148"/>
      <c r="H148"/>
      <c r="I148"/>
      <c r="J148"/>
      <c r="K148" s="13"/>
    </row>
    <row r="149" spans="1:14" ht="14.25">
      <c r="A149"/>
      <c r="B149"/>
      <c r="C149"/>
      <c r="D149"/>
      <c r="E149"/>
      <c r="F149"/>
      <c r="G149"/>
      <c r="H149"/>
      <c r="I149"/>
      <c r="J149"/>
    </row>
    <row r="150" spans="1:14" ht="14.25">
      <c r="A150"/>
      <c r="B150"/>
      <c r="C150"/>
      <c r="D150"/>
      <c r="E150"/>
      <c r="F150"/>
      <c r="G150"/>
      <c r="H150"/>
      <c r="I150"/>
      <c r="J150"/>
    </row>
    <row r="151" spans="1:14" ht="14.25">
      <c r="A151"/>
      <c r="B151"/>
      <c r="C151"/>
      <c r="D151"/>
      <c r="E151"/>
      <c r="F151"/>
      <c r="G151"/>
      <c r="H151"/>
      <c r="I151"/>
      <c r="J151"/>
    </row>
    <row r="152" spans="1:14" ht="14.25">
      <c r="A152"/>
      <c r="B152"/>
      <c r="C152"/>
      <c r="D152"/>
      <c r="E152"/>
      <c r="F152"/>
      <c r="G152"/>
      <c r="H152"/>
      <c r="I152"/>
      <c r="J152"/>
      <c r="N152" s="13"/>
    </row>
    <row r="153" spans="1:14" ht="14.25">
      <c r="A153"/>
      <c r="B153"/>
      <c r="C153"/>
      <c r="D153"/>
      <c r="E153"/>
      <c r="F153"/>
      <c r="G153"/>
      <c r="H153"/>
      <c r="I153"/>
      <c r="J153"/>
      <c r="N153" s="13"/>
    </row>
    <row r="154" spans="1:14" ht="14.25">
      <c r="A154"/>
      <c r="B154"/>
      <c r="C154"/>
      <c r="D154"/>
      <c r="E154"/>
      <c r="F154"/>
      <c r="G154"/>
      <c r="H154"/>
      <c r="I154"/>
      <c r="J154"/>
      <c r="N154" s="13"/>
    </row>
    <row r="155" spans="1:14" ht="14.25">
      <c r="A155"/>
      <c r="B155"/>
      <c r="C155"/>
      <c r="D155"/>
      <c r="E155"/>
      <c r="F155"/>
      <c r="G155"/>
      <c r="H155"/>
      <c r="I155"/>
      <c r="J155"/>
    </row>
    <row r="156" spans="1:14" ht="14.25">
      <c r="A156"/>
      <c r="B156"/>
      <c r="C156"/>
      <c r="D156"/>
      <c r="E156"/>
      <c r="F156"/>
      <c r="G156"/>
      <c r="H156"/>
      <c r="I156"/>
      <c r="J156"/>
      <c r="K156" s="13"/>
    </row>
    <row r="157" spans="1:14" ht="14.25">
      <c r="A157"/>
      <c r="B157"/>
      <c r="C157"/>
      <c r="D157"/>
      <c r="E157"/>
      <c r="F157"/>
      <c r="G157"/>
      <c r="H157"/>
      <c r="I157"/>
      <c r="J157"/>
    </row>
    <row r="158" spans="1:14" ht="14.25">
      <c r="A158"/>
      <c r="B158"/>
      <c r="C158"/>
      <c r="D158"/>
      <c r="E158"/>
      <c r="F158"/>
      <c r="G158"/>
      <c r="H158"/>
      <c r="I158"/>
      <c r="J158"/>
    </row>
    <row r="159" spans="1:14" ht="14.25">
      <c r="A159"/>
      <c r="B159"/>
      <c r="C159"/>
      <c r="D159"/>
      <c r="E159"/>
      <c r="F159"/>
      <c r="G159"/>
      <c r="H159"/>
      <c r="I159"/>
      <c r="J159"/>
    </row>
    <row r="160" spans="1:14" ht="14.25">
      <c r="A160"/>
      <c r="B160"/>
      <c r="C160"/>
      <c r="D160"/>
      <c r="E160"/>
      <c r="F160"/>
      <c r="G160"/>
      <c r="H160"/>
      <c r="I160"/>
      <c r="J160"/>
    </row>
    <row r="161" spans="1:11" ht="14.25">
      <c r="A161"/>
      <c r="B161"/>
      <c r="C161"/>
      <c r="D161"/>
      <c r="E161"/>
      <c r="F161"/>
      <c r="G161"/>
      <c r="H161"/>
      <c r="I161"/>
      <c r="J161"/>
    </row>
    <row r="162" spans="1:11" ht="14.25">
      <c r="A162"/>
      <c r="B162"/>
      <c r="C162"/>
      <c r="D162"/>
      <c r="E162"/>
      <c r="F162"/>
      <c r="G162"/>
      <c r="H162"/>
      <c r="I162"/>
      <c r="J162"/>
      <c r="K162" s="13"/>
    </row>
    <row r="163" spans="1:11" ht="14.25">
      <c r="A163"/>
      <c r="B163"/>
      <c r="C163"/>
      <c r="D163"/>
      <c r="E163"/>
      <c r="F163"/>
      <c r="G163"/>
      <c r="H163"/>
      <c r="I163"/>
      <c r="J163"/>
    </row>
    <row r="164" spans="1:11" ht="14.25">
      <c r="A164"/>
      <c r="B164"/>
      <c r="C164"/>
      <c r="D164"/>
      <c r="E164"/>
      <c r="F164"/>
      <c r="G164"/>
      <c r="H164"/>
      <c r="I164"/>
      <c r="J164"/>
    </row>
    <row r="165" spans="1:11" ht="14.25">
      <c r="A165"/>
      <c r="B165"/>
      <c r="C165"/>
      <c r="D165"/>
      <c r="E165"/>
      <c r="F165"/>
      <c r="G165"/>
      <c r="H165"/>
      <c r="I165"/>
      <c r="J165"/>
    </row>
    <row r="166" spans="1:11" ht="14.25">
      <c r="A166"/>
      <c r="B166"/>
      <c r="C166"/>
      <c r="D166"/>
      <c r="E166"/>
      <c r="F166"/>
      <c r="G166"/>
      <c r="H166"/>
      <c r="I166"/>
      <c r="J166"/>
    </row>
    <row r="167" spans="1:11" ht="14.25">
      <c r="A167"/>
      <c r="B167"/>
      <c r="C167"/>
      <c r="D167"/>
      <c r="E167"/>
      <c r="F167"/>
      <c r="G167"/>
      <c r="H167"/>
      <c r="I167"/>
      <c r="J167"/>
    </row>
    <row r="168" spans="1:11" ht="14.25">
      <c r="A168"/>
      <c r="B168"/>
      <c r="C168"/>
      <c r="D168"/>
      <c r="E168"/>
      <c r="F168"/>
      <c r="G168"/>
      <c r="H168"/>
      <c r="I168"/>
      <c r="J168"/>
    </row>
    <row r="169" spans="1:11" ht="14.25">
      <c r="A169"/>
      <c r="B169"/>
      <c r="C169"/>
      <c r="D169"/>
      <c r="E169"/>
      <c r="F169"/>
      <c r="G169"/>
      <c r="H169"/>
      <c r="I169"/>
      <c r="J169"/>
    </row>
    <row r="170" spans="1:11" ht="14.25">
      <c r="A170"/>
      <c r="B170"/>
      <c r="C170"/>
      <c r="D170"/>
      <c r="E170"/>
      <c r="F170"/>
      <c r="G170"/>
      <c r="H170"/>
      <c r="I170"/>
      <c r="J170"/>
    </row>
    <row r="171" spans="1:11" ht="14.25">
      <c r="A171"/>
      <c r="B171"/>
      <c r="C171"/>
      <c r="D171"/>
      <c r="E171"/>
      <c r="F171"/>
      <c r="G171"/>
      <c r="H171"/>
      <c r="I171"/>
      <c r="J171"/>
    </row>
    <row r="172" spans="1:11" ht="14.25">
      <c r="A172"/>
      <c r="B172"/>
      <c r="C172"/>
      <c r="D172"/>
      <c r="E172"/>
      <c r="F172"/>
      <c r="G172"/>
      <c r="H172"/>
      <c r="I172"/>
      <c r="J172"/>
    </row>
    <row r="173" spans="1:11" ht="14.25">
      <c r="A173"/>
      <c r="B173"/>
      <c r="C173"/>
      <c r="D173"/>
      <c r="E173"/>
      <c r="F173"/>
      <c r="G173"/>
      <c r="H173"/>
      <c r="I173"/>
      <c r="J173"/>
    </row>
    <row r="174" spans="1:11" ht="14.25">
      <c r="A174"/>
      <c r="B174"/>
      <c r="C174"/>
      <c r="D174"/>
      <c r="E174"/>
      <c r="F174"/>
      <c r="G174"/>
      <c r="H174"/>
      <c r="I174"/>
      <c r="J174"/>
    </row>
    <row r="175" spans="1:11" ht="14.25">
      <c r="A175"/>
      <c r="B175"/>
      <c r="C175"/>
      <c r="D175"/>
      <c r="E175"/>
      <c r="F175"/>
      <c r="G175"/>
      <c r="H175"/>
      <c r="I175"/>
      <c r="J175"/>
    </row>
    <row r="176" spans="1:11" ht="14.25">
      <c r="A176"/>
      <c r="B176"/>
      <c r="C176"/>
      <c r="D176"/>
      <c r="E176"/>
      <c r="F176"/>
      <c r="G176"/>
      <c r="H176"/>
      <c r="I176"/>
      <c r="J176"/>
    </row>
    <row r="177" spans="1:10" ht="14.25">
      <c r="A177"/>
      <c r="B177"/>
      <c r="C177"/>
      <c r="D177"/>
      <c r="E177"/>
      <c r="F177"/>
      <c r="G177"/>
      <c r="H177"/>
      <c r="I177"/>
      <c r="J177"/>
    </row>
    <row r="178" spans="1:10" ht="14.25">
      <c r="A178"/>
      <c r="B178"/>
      <c r="C178"/>
      <c r="D178"/>
      <c r="E178"/>
      <c r="F178"/>
      <c r="G178"/>
      <c r="H178"/>
      <c r="I178"/>
      <c r="J178"/>
    </row>
    <row r="179" spans="1:10" ht="14.25">
      <c r="A179"/>
      <c r="B179"/>
      <c r="C179"/>
      <c r="D179"/>
      <c r="E179"/>
      <c r="F179"/>
      <c r="G179"/>
      <c r="H179"/>
      <c r="I179"/>
      <c r="J179"/>
    </row>
    <row r="180" spans="1:10" ht="14.25">
      <c r="A180"/>
      <c r="B180"/>
      <c r="C180"/>
      <c r="D180"/>
      <c r="E180"/>
      <c r="F180"/>
      <c r="G180"/>
      <c r="H180"/>
      <c r="I180"/>
      <c r="J180"/>
    </row>
    <row r="181" spans="1:10" ht="14.25">
      <c r="A181"/>
      <c r="B181"/>
      <c r="C181"/>
      <c r="D181"/>
      <c r="E181"/>
      <c r="F181"/>
      <c r="G181"/>
      <c r="H181"/>
      <c r="I181"/>
      <c r="J181"/>
    </row>
    <row r="182" spans="1:10" ht="14.25">
      <c r="A182"/>
      <c r="B182"/>
      <c r="C182"/>
      <c r="D182"/>
      <c r="E182"/>
      <c r="F182"/>
      <c r="G182"/>
      <c r="H182"/>
      <c r="I182"/>
      <c r="J182"/>
    </row>
    <row r="183" spans="1:10" ht="14.25">
      <c r="A183"/>
      <c r="B183"/>
      <c r="C183"/>
      <c r="D183"/>
      <c r="E183"/>
      <c r="F183"/>
      <c r="G183"/>
      <c r="H183"/>
      <c r="I183"/>
      <c r="J183"/>
    </row>
    <row r="184" spans="1:10" ht="14.25">
      <c r="A184"/>
      <c r="B184"/>
      <c r="C184"/>
      <c r="D184"/>
      <c r="E184"/>
      <c r="F184"/>
      <c r="G184"/>
      <c r="H184"/>
      <c r="I184"/>
      <c r="J184"/>
    </row>
    <row r="185" spans="1:10" ht="14.25">
      <c r="A185"/>
      <c r="B185"/>
      <c r="C185"/>
      <c r="D185"/>
      <c r="E185"/>
      <c r="F185"/>
      <c r="G185"/>
      <c r="H185"/>
      <c r="I185"/>
      <c r="J185"/>
    </row>
    <row r="186" spans="1:10" ht="14.25">
      <c r="A186"/>
      <c r="B186"/>
      <c r="C186"/>
      <c r="D186"/>
      <c r="E186"/>
      <c r="F186"/>
      <c r="G186"/>
      <c r="H186"/>
      <c r="I186"/>
      <c r="J186"/>
    </row>
    <row r="187" spans="1:10" ht="14.25">
      <c r="A187"/>
      <c r="B187"/>
      <c r="C187"/>
      <c r="D187"/>
      <c r="E187"/>
      <c r="F187"/>
      <c r="G187"/>
      <c r="H187"/>
      <c r="I187"/>
      <c r="J187"/>
    </row>
    <row r="188" spans="1:10" ht="14.25">
      <c r="A188"/>
      <c r="B188"/>
      <c r="C188"/>
      <c r="D188"/>
      <c r="E188"/>
      <c r="F188"/>
      <c r="G188"/>
      <c r="H188"/>
      <c r="I188"/>
      <c r="J188"/>
    </row>
    <row r="189" spans="1:10" ht="14.25">
      <c r="A189"/>
      <c r="B189"/>
      <c r="C189"/>
      <c r="D189"/>
      <c r="E189"/>
      <c r="F189"/>
      <c r="G189"/>
      <c r="H189"/>
      <c r="I189"/>
      <c r="J189"/>
    </row>
    <row r="190" spans="1:10" ht="14.25">
      <c r="A190"/>
      <c r="B190"/>
      <c r="C190"/>
      <c r="D190"/>
      <c r="E190"/>
      <c r="F190"/>
      <c r="G190"/>
      <c r="H190"/>
      <c r="I190"/>
      <c r="J190"/>
    </row>
    <row r="191" spans="1:10" ht="14.25">
      <c r="A191"/>
      <c r="B191"/>
      <c r="C191"/>
      <c r="D191"/>
      <c r="E191"/>
      <c r="F191"/>
      <c r="G191"/>
      <c r="H191"/>
      <c r="I191"/>
      <c r="J191"/>
    </row>
    <row r="192" spans="1:10" ht="14.25">
      <c r="A192"/>
      <c r="B192"/>
      <c r="C192"/>
      <c r="D192"/>
      <c r="E192"/>
      <c r="F192"/>
      <c r="G192"/>
      <c r="H192"/>
      <c r="I192"/>
      <c r="J192"/>
    </row>
    <row r="193" spans="1:10" ht="14.25">
      <c r="A193"/>
      <c r="B193"/>
      <c r="C193"/>
      <c r="D193"/>
      <c r="E193"/>
      <c r="F193"/>
      <c r="G193"/>
      <c r="H193"/>
      <c r="I193"/>
      <c r="J193"/>
    </row>
    <row r="194" spans="1:10" ht="14.25">
      <c r="A194"/>
      <c r="B194"/>
      <c r="C194"/>
      <c r="D194"/>
      <c r="E194"/>
      <c r="F194"/>
      <c r="G194"/>
      <c r="H194"/>
      <c r="I194"/>
      <c r="J194"/>
    </row>
    <row r="195" spans="1:10" ht="14.25">
      <c r="A195"/>
      <c r="B195"/>
      <c r="C195"/>
      <c r="D195"/>
      <c r="E195"/>
      <c r="F195"/>
      <c r="G195"/>
      <c r="H195"/>
      <c r="I195"/>
      <c r="J195"/>
    </row>
    <row r="196" spans="1:10" ht="14.25">
      <c r="A196"/>
      <c r="B196"/>
      <c r="C196"/>
      <c r="D196"/>
      <c r="E196"/>
      <c r="F196"/>
      <c r="G196"/>
      <c r="H196"/>
      <c r="I196"/>
      <c r="J196"/>
    </row>
    <row r="197" spans="1:10" ht="14.25">
      <c r="A197"/>
      <c r="B197"/>
      <c r="C197"/>
      <c r="D197"/>
      <c r="E197"/>
      <c r="F197"/>
      <c r="G197"/>
      <c r="H197"/>
      <c r="I197"/>
      <c r="J197"/>
    </row>
    <row r="198" spans="1:10" ht="14.25">
      <c r="A198"/>
      <c r="B198"/>
      <c r="C198"/>
      <c r="D198"/>
      <c r="E198"/>
      <c r="F198"/>
      <c r="G198"/>
      <c r="H198"/>
      <c r="I198"/>
      <c r="J198"/>
    </row>
    <row r="199" spans="1:10" ht="14.25">
      <c r="A199"/>
      <c r="B199"/>
      <c r="C199"/>
      <c r="D199"/>
      <c r="E199"/>
      <c r="F199"/>
      <c r="G199"/>
      <c r="H199"/>
      <c r="I199"/>
      <c r="J199"/>
    </row>
    <row r="200" spans="1:10" ht="14.25">
      <c r="A200"/>
      <c r="B200"/>
      <c r="C200"/>
      <c r="D200"/>
      <c r="E200"/>
      <c r="F200"/>
      <c r="G200"/>
      <c r="H200"/>
      <c r="I200"/>
      <c r="J200"/>
    </row>
    <row r="201" spans="1:10" ht="14.25">
      <c r="A201"/>
      <c r="B201"/>
      <c r="C201"/>
      <c r="D201"/>
      <c r="E201"/>
      <c r="F201"/>
      <c r="G201"/>
      <c r="H201"/>
      <c r="I201"/>
      <c r="J201"/>
    </row>
    <row r="202" spans="1:10" ht="14.25">
      <c r="A202"/>
      <c r="B202"/>
      <c r="C202"/>
      <c r="D202"/>
      <c r="E202"/>
      <c r="F202"/>
      <c r="G202"/>
      <c r="H202"/>
      <c r="I202"/>
      <c r="J202"/>
    </row>
    <row r="203" spans="1:10" ht="14.25">
      <c r="A203"/>
      <c r="B203"/>
      <c r="C203"/>
      <c r="D203"/>
      <c r="E203"/>
      <c r="F203"/>
      <c r="G203"/>
      <c r="H203"/>
      <c r="I203"/>
      <c r="J203"/>
    </row>
    <row r="204" spans="1:10" ht="14.25">
      <c r="A204"/>
      <c r="B204"/>
      <c r="C204"/>
      <c r="D204"/>
      <c r="E204"/>
      <c r="F204"/>
      <c r="G204"/>
      <c r="H204"/>
      <c r="I204"/>
      <c r="J204"/>
    </row>
    <row r="205" spans="1:10" ht="14.25">
      <c r="A205"/>
      <c r="B205"/>
      <c r="C205"/>
      <c r="D205"/>
      <c r="E205"/>
      <c r="F205"/>
      <c r="G205"/>
      <c r="H205"/>
      <c r="I205"/>
      <c r="J205"/>
    </row>
    <row r="206" spans="1:10" ht="14.25">
      <c r="A206"/>
      <c r="B206"/>
      <c r="C206"/>
      <c r="D206"/>
      <c r="E206"/>
      <c r="F206"/>
      <c r="G206"/>
      <c r="H206"/>
      <c r="I206"/>
      <c r="J206"/>
    </row>
    <row r="207" spans="1:10" ht="14.25">
      <c r="A207"/>
      <c r="B207"/>
      <c r="C207"/>
      <c r="D207"/>
      <c r="E207"/>
      <c r="F207"/>
      <c r="G207"/>
      <c r="H207"/>
      <c r="I207"/>
      <c r="J207"/>
    </row>
    <row r="208" spans="1:10" ht="14.25">
      <c r="A208"/>
      <c r="B208"/>
      <c r="C208"/>
      <c r="D208"/>
      <c r="E208"/>
      <c r="F208"/>
      <c r="G208"/>
      <c r="H208"/>
      <c r="I208"/>
      <c r="J208"/>
    </row>
    <row r="209" spans="1:11" ht="14.25">
      <c r="A209"/>
      <c r="B209"/>
      <c r="C209"/>
      <c r="D209"/>
      <c r="E209"/>
      <c r="F209"/>
      <c r="G209"/>
      <c r="H209"/>
      <c r="I209"/>
      <c r="J209"/>
    </row>
    <row r="210" spans="1:11" ht="14.25">
      <c r="A210"/>
      <c r="B210"/>
      <c r="C210"/>
      <c r="D210"/>
      <c r="E210"/>
      <c r="F210"/>
      <c r="G210"/>
      <c r="H210"/>
      <c r="I210"/>
      <c r="J210"/>
    </row>
    <row r="211" spans="1:11" ht="14.25">
      <c r="A211"/>
      <c r="B211"/>
      <c r="C211"/>
      <c r="D211"/>
      <c r="E211"/>
      <c r="F211"/>
      <c r="G211"/>
      <c r="H211"/>
      <c r="I211"/>
      <c r="J211"/>
    </row>
    <row r="212" spans="1:11" ht="14.25">
      <c r="A212"/>
      <c r="B212"/>
      <c r="C212"/>
      <c r="D212"/>
      <c r="E212"/>
      <c r="F212"/>
      <c r="G212"/>
      <c r="H212"/>
      <c r="I212"/>
      <c r="J212"/>
      <c r="K212" s="13"/>
    </row>
    <row r="213" spans="1:11" ht="14.25">
      <c r="A213"/>
      <c r="B213"/>
      <c r="C213"/>
      <c r="D213"/>
      <c r="E213"/>
      <c r="F213"/>
      <c r="G213"/>
      <c r="H213"/>
      <c r="I213"/>
      <c r="J213"/>
    </row>
    <row r="214" spans="1:11" ht="14.25">
      <c r="A214"/>
      <c r="B214"/>
      <c r="C214"/>
      <c r="D214"/>
      <c r="E214"/>
      <c r="F214"/>
      <c r="G214"/>
      <c r="H214"/>
      <c r="I214"/>
      <c r="J214"/>
    </row>
    <row r="215" spans="1:11" ht="14.25">
      <c r="A215"/>
      <c r="B215"/>
      <c r="C215"/>
      <c r="D215"/>
      <c r="E215"/>
      <c r="F215"/>
      <c r="G215"/>
      <c r="H215"/>
      <c r="I215"/>
      <c r="J215"/>
    </row>
    <row r="216" spans="1:11" ht="14.25">
      <c r="A216"/>
      <c r="B216"/>
      <c r="C216"/>
      <c r="D216"/>
      <c r="E216"/>
      <c r="F216"/>
      <c r="G216"/>
      <c r="H216"/>
      <c r="I216"/>
      <c r="J216"/>
    </row>
    <row r="217" spans="1:11" ht="14.25">
      <c r="A217"/>
      <c r="B217"/>
      <c r="C217"/>
      <c r="D217"/>
      <c r="E217"/>
      <c r="F217"/>
      <c r="G217"/>
      <c r="H217"/>
      <c r="I217"/>
      <c r="J217"/>
    </row>
    <row r="218" spans="1:11" ht="14.25">
      <c r="A218"/>
      <c r="B218"/>
      <c r="C218"/>
      <c r="D218"/>
      <c r="E218"/>
      <c r="F218"/>
      <c r="G218"/>
      <c r="H218"/>
      <c r="I218"/>
      <c r="J218"/>
    </row>
    <row r="219" spans="1:11" ht="14.25">
      <c r="A219"/>
      <c r="B219"/>
      <c r="C219"/>
      <c r="D219"/>
      <c r="E219"/>
      <c r="F219"/>
      <c r="G219"/>
      <c r="H219"/>
      <c r="I219"/>
      <c r="J219"/>
    </row>
    <row r="220" spans="1:11" ht="14.25">
      <c r="A220"/>
      <c r="B220"/>
      <c r="C220"/>
      <c r="D220"/>
      <c r="E220"/>
      <c r="F220"/>
      <c r="G220"/>
      <c r="H220"/>
      <c r="I220"/>
      <c r="J220"/>
    </row>
    <row r="221" spans="1:11" ht="14.25">
      <c r="A221"/>
      <c r="B221"/>
      <c r="C221"/>
      <c r="D221"/>
      <c r="E221"/>
      <c r="F221"/>
      <c r="G221"/>
      <c r="H221"/>
      <c r="I221"/>
      <c r="J221"/>
    </row>
    <row r="222" spans="1:11" ht="14.25">
      <c r="A222"/>
      <c r="B222"/>
      <c r="C222"/>
      <c r="D222"/>
      <c r="E222"/>
      <c r="F222"/>
      <c r="G222"/>
      <c r="H222"/>
      <c r="I222"/>
      <c r="J222"/>
    </row>
    <row r="223" spans="1:11" ht="14.25">
      <c r="A223"/>
      <c r="B223"/>
      <c r="C223"/>
      <c r="D223"/>
      <c r="E223"/>
      <c r="F223"/>
      <c r="G223"/>
      <c r="H223"/>
      <c r="I223"/>
      <c r="J223"/>
    </row>
    <row r="224" spans="1:11" ht="14.25">
      <c r="A224"/>
      <c r="B224"/>
      <c r="C224"/>
      <c r="D224"/>
      <c r="E224"/>
      <c r="F224"/>
      <c r="G224"/>
      <c r="H224"/>
      <c r="I224"/>
      <c r="J224"/>
    </row>
    <row r="225" spans="1:10" ht="14.25">
      <c r="A225"/>
      <c r="B225"/>
      <c r="C225"/>
      <c r="D225"/>
      <c r="E225"/>
      <c r="F225"/>
      <c r="G225"/>
      <c r="H225"/>
      <c r="I225"/>
      <c r="J225"/>
    </row>
    <row r="226" spans="1:10" ht="14.25">
      <c r="A226"/>
      <c r="B226"/>
      <c r="C226"/>
      <c r="D226"/>
      <c r="E226"/>
      <c r="F226"/>
      <c r="G226"/>
      <c r="H226"/>
      <c r="I226"/>
      <c r="J226"/>
    </row>
    <row r="227" spans="1:10" ht="14.25">
      <c r="A227"/>
      <c r="B227"/>
      <c r="C227"/>
      <c r="D227"/>
      <c r="E227"/>
      <c r="F227"/>
      <c r="G227"/>
      <c r="H227"/>
      <c r="I227"/>
      <c r="J227"/>
    </row>
    <row r="228" spans="1:10" ht="14.25">
      <c r="A228"/>
      <c r="B228"/>
      <c r="C228"/>
      <c r="D228"/>
      <c r="E228"/>
      <c r="F228"/>
      <c r="G228"/>
      <c r="H228"/>
      <c r="I228"/>
      <c r="J228"/>
    </row>
    <row r="229" spans="1:10" ht="14.25">
      <c r="A229"/>
      <c r="B229"/>
      <c r="C229"/>
      <c r="D229"/>
      <c r="E229"/>
      <c r="F229"/>
      <c r="G229"/>
      <c r="H229"/>
      <c r="I229"/>
      <c r="J229"/>
    </row>
    <row r="230" spans="1:10" ht="14.25">
      <c r="A230"/>
      <c r="B230"/>
      <c r="C230"/>
      <c r="D230"/>
      <c r="E230"/>
      <c r="F230"/>
      <c r="G230"/>
      <c r="H230"/>
      <c r="I230"/>
      <c r="J230"/>
    </row>
    <row r="231" spans="1:10" ht="14.25">
      <c r="A231"/>
      <c r="B231"/>
      <c r="C231"/>
      <c r="D231"/>
      <c r="E231"/>
      <c r="F231"/>
      <c r="G231"/>
      <c r="H231"/>
      <c r="I231"/>
      <c r="J231"/>
    </row>
    <row r="232" spans="1:10" ht="14.25">
      <c r="A232"/>
      <c r="B232"/>
      <c r="C232"/>
      <c r="D232"/>
      <c r="E232"/>
      <c r="F232"/>
      <c r="G232"/>
      <c r="H232"/>
      <c r="I232"/>
      <c r="J232"/>
    </row>
    <row r="233" spans="1:10" ht="14.25">
      <c r="A233"/>
      <c r="B233"/>
      <c r="C233"/>
      <c r="D233"/>
      <c r="E233"/>
      <c r="F233"/>
      <c r="G233"/>
      <c r="H233"/>
      <c r="I233"/>
      <c r="J233"/>
    </row>
    <row r="234" spans="1:10" ht="14.25">
      <c r="A234"/>
      <c r="B234"/>
      <c r="C234"/>
      <c r="D234"/>
      <c r="E234"/>
      <c r="F234"/>
      <c r="G234"/>
      <c r="H234"/>
      <c r="I234"/>
      <c r="J234"/>
    </row>
    <row r="235" spans="1:10" ht="14.25">
      <c r="A235"/>
      <c r="B235"/>
      <c r="C235"/>
      <c r="D235"/>
      <c r="E235"/>
      <c r="F235"/>
      <c r="G235"/>
      <c r="H235"/>
      <c r="I235"/>
      <c r="J235"/>
    </row>
    <row r="236" spans="1:10" ht="14.25">
      <c r="A236"/>
      <c r="B236"/>
      <c r="C236"/>
      <c r="D236"/>
      <c r="E236"/>
      <c r="F236"/>
      <c r="G236"/>
      <c r="H236"/>
      <c r="I236"/>
      <c r="J236"/>
    </row>
    <row r="237" spans="1:10" ht="14.25">
      <c r="A237"/>
      <c r="B237"/>
      <c r="C237"/>
      <c r="D237"/>
      <c r="E237"/>
      <c r="F237"/>
      <c r="G237"/>
      <c r="H237"/>
      <c r="I237"/>
      <c r="J237"/>
    </row>
    <row r="238" spans="1:10" ht="14.25">
      <c r="A238"/>
      <c r="B238"/>
      <c r="C238"/>
      <c r="D238"/>
      <c r="E238"/>
      <c r="F238"/>
      <c r="G238"/>
      <c r="H238"/>
      <c r="I238"/>
      <c r="J238"/>
    </row>
    <row r="239" spans="1:10" ht="14.25">
      <c r="A239"/>
      <c r="B239"/>
      <c r="C239"/>
      <c r="D239"/>
      <c r="E239"/>
      <c r="F239"/>
      <c r="G239"/>
      <c r="H239"/>
      <c r="I239"/>
      <c r="J239"/>
    </row>
    <row r="240" spans="1:10" ht="14.25">
      <c r="A240"/>
      <c r="B240"/>
      <c r="C240"/>
      <c r="D240"/>
      <c r="E240"/>
      <c r="F240"/>
      <c r="G240"/>
      <c r="H240"/>
      <c r="I240"/>
      <c r="J240"/>
    </row>
    <row r="241" spans="1:12" ht="14.25">
      <c r="A241"/>
      <c r="B241"/>
      <c r="C241"/>
      <c r="D241"/>
      <c r="E241"/>
      <c r="F241"/>
      <c r="G241"/>
      <c r="H241"/>
      <c r="I241"/>
      <c r="J241"/>
    </row>
    <row r="242" spans="1:12" ht="14.25">
      <c r="A242"/>
      <c r="B242"/>
      <c r="C242"/>
      <c r="D242"/>
      <c r="E242"/>
      <c r="F242"/>
      <c r="G242"/>
      <c r="H242"/>
      <c r="I242"/>
      <c r="J242"/>
    </row>
    <row r="243" spans="1:12" ht="14.25">
      <c r="A243"/>
      <c r="B243"/>
      <c r="C243"/>
      <c r="D243"/>
      <c r="E243"/>
      <c r="F243"/>
      <c r="G243"/>
      <c r="H243"/>
      <c r="I243"/>
      <c r="J243"/>
    </row>
    <row r="244" spans="1:12" ht="14.25">
      <c r="A244"/>
      <c r="B244"/>
      <c r="C244"/>
      <c r="D244"/>
      <c r="E244"/>
      <c r="F244"/>
      <c r="G244"/>
      <c r="H244"/>
      <c r="I244"/>
      <c r="J244"/>
    </row>
    <row r="245" spans="1:12" ht="15.75">
      <c r="A245"/>
      <c r="B245"/>
      <c r="C245"/>
      <c r="D245"/>
      <c r="E245"/>
      <c r="F245"/>
      <c r="G245"/>
      <c r="H245"/>
      <c r="I245"/>
      <c r="J245"/>
      <c r="L245" s="14"/>
    </row>
    <row r="246" spans="1:12" ht="15.75">
      <c r="A246"/>
      <c r="B246"/>
      <c r="C246"/>
      <c r="D246"/>
      <c r="E246"/>
      <c r="F246"/>
      <c r="G246"/>
      <c r="H246"/>
      <c r="I246"/>
      <c r="J246"/>
      <c r="L246" s="15"/>
    </row>
    <row r="247" spans="1:12" ht="15.75">
      <c r="A247"/>
      <c r="B247"/>
      <c r="C247"/>
      <c r="D247"/>
      <c r="E247"/>
      <c r="F247"/>
      <c r="G247"/>
      <c r="H247"/>
      <c r="I247"/>
      <c r="J247"/>
      <c r="L247" s="15"/>
    </row>
    <row r="248" spans="1:12" ht="15.75">
      <c r="A248"/>
      <c r="B248"/>
      <c r="C248"/>
      <c r="D248"/>
      <c r="E248"/>
      <c r="F248"/>
      <c r="G248"/>
      <c r="H248"/>
      <c r="I248"/>
      <c r="J248"/>
      <c r="K248" s="13"/>
      <c r="L248" s="15"/>
    </row>
    <row r="249" spans="1:12" ht="15.75">
      <c r="A249"/>
      <c r="B249"/>
      <c r="C249"/>
      <c r="D249"/>
      <c r="E249"/>
      <c r="F249"/>
      <c r="G249"/>
      <c r="H249"/>
      <c r="I249"/>
      <c r="J249"/>
      <c r="L249" s="15"/>
    </row>
    <row r="250" spans="1:12" ht="15.75">
      <c r="A250"/>
      <c r="B250"/>
      <c r="C250"/>
      <c r="D250"/>
      <c r="E250"/>
      <c r="F250"/>
      <c r="G250"/>
      <c r="H250"/>
      <c r="I250"/>
      <c r="J250"/>
      <c r="L250" s="15"/>
    </row>
    <row r="251" spans="1:12" ht="15.75">
      <c r="A251"/>
      <c r="B251"/>
      <c r="C251"/>
      <c r="D251"/>
      <c r="E251"/>
      <c r="F251"/>
      <c r="G251"/>
      <c r="H251"/>
      <c r="I251"/>
      <c r="J251"/>
      <c r="L251" s="15"/>
    </row>
    <row r="252" spans="1:12" ht="15.75">
      <c r="A252"/>
      <c r="B252"/>
      <c r="C252"/>
      <c r="D252"/>
      <c r="E252"/>
      <c r="F252"/>
      <c r="G252"/>
      <c r="H252"/>
      <c r="I252"/>
      <c r="J252"/>
      <c r="L252" s="15"/>
    </row>
    <row r="253" spans="1:12" ht="15.75">
      <c r="A253"/>
      <c r="B253"/>
      <c r="C253"/>
      <c r="D253"/>
      <c r="E253"/>
      <c r="F253"/>
      <c r="G253"/>
      <c r="H253"/>
      <c r="I253"/>
      <c r="J253"/>
      <c r="L253" s="15"/>
    </row>
    <row r="254" spans="1:12" ht="15.75">
      <c r="A254"/>
      <c r="B254"/>
      <c r="C254"/>
      <c r="D254"/>
      <c r="E254"/>
      <c r="F254"/>
      <c r="G254"/>
      <c r="H254"/>
      <c r="I254"/>
      <c r="J254"/>
      <c r="L254" s="15"/>
    </row>
    <row r="255" spans="1:12" ht="15.75">
      <c r="A255"/>
      <c r="B255"/>
      <c r="C255"/>
      <c r="D255"/>
      <c r="E255"/>
      <c r="F255"/>
      <c r="G255"/>
      <c r="H255"/>
      <c r="I255"/>
      <c r="J255"/>
      <c r="L255" s="16"/>
    </row>
    <row r="256" spans="1:12" ht="14.25">
      <c r="A256"/>
      <c r="B256"/>
      <c r="C256"/>
      <c r="D256"/>
      <c r="E256"/>
      <c r="F256"/>
      <c r="G256"/>
      <c r="H256"/>
      <c r="I256"/>
      <c r="J256"/>
    </row>
    <row r="257" spans="1:10" ht="14.25">
      <c r="A257"/>
      <c r="B257"/>
      <c r="C257"/>
      <c r="D257"/>
      <c r="E257"/>
      <c r="F257"/>
      <c r="G257"/>
      <c r="H257"/>
      <c r="I257"/>
      <c r="J257"/>
    </row>
    <row r="258" spans="1:10" ht="14.25">
      <c r="A258"/>
      <c r="B258"/>
      <c r="C258"/>
      <c r="D258"/>
      <c r="E258"/>
      <c r="F258"/>
      <c r="G258"/>
      <c r="H258"/>
      <c r="I258"/>
      <c r="J258"/>
    </row>
    <row r="259" spans="1:10" ht="14.25">
      <c r="A259"/>
      <c r="B259"/>
      <c r="C259"/>
      <c r="D259"/>
      <c r="E259"/>
      <c r="F259"/>
      <c r="G259"/>
      <c r="H259"/>
      <c r="I259"/>
      <c r="J259"/>
    </row>
    <row r="260" spans="1:10" ht="14.25">
      <c r="A260"/>
      <c r="B260"/>
      <c r="C260"/>
      <c r="D260"/>
      <c r="E260"/>
      <c r="F260"/>
      <c r="G260"/>
      <c r="H260"/>
      <c r="I260"/>
      <c r="J260"/>
    </row>
    <row r="261" spans="1:10" ht="14.25">
      <c r="A261"/>
      <c r="B261"/>
      <c r="C261"/>
      <c r="D261"/>
      <c r="E261"/>
      <c r="F261"/>
      <c r="G261"/>
      <c r="H261"/>
      <c r="I261"/>
      <c r="J261"/>
    </row>
    <row r="262" spans="1:10" ht="14.25">
      <c r="A262"/>
      <c r="B262"/>
      <c r="C262"/>
      <c r="D262"/>
      <c r="E262"/>
      <c r="F262"/>
      <c r="G262"/>
      <c r="H262"/>
      <c r="I262"/>
      <c r="J262"/>
    </row>
    <row r="263" spans="1:10" ht="14.25">
      <c r="A263"/>
      <c r="B263"/>
      <c r="C263"/>
      <c r="D263"/>
      <c r="E263"/>
      <c r="F263"/>
      <c r="G263"/>
      <c r="H263"/>
      <c r="I263"/>
      <c r="J263"/>
    </row>
    <row r="264" spans="1:10" ht="14.25">
      <c r="A264"/>
      <c r="B264"/>
      <c r="C264"/>
      <c r="D264"/>
      <c r="E264"/>
      <c r="F264"/>
      <c r="G264"/>
      <c r="H264"/>
      <c r="I264"/>
      <c r="J264"/>
    </row>
    <row r="265" spans="1:10" ht="14.25">
      <c r="A265"/>
      <c r="B265"/>
      <c r="C265"/>
      <c r="D265"/>
      <c r="E265"/>
      <c r="F265"/>
      <c r="G265"/>
      <c r="H265"/>
      <c r="I265"/>
      <c r="J265"/>
    </row>
    <row r="266" spans="1:10" ht="14.25">
      <c r="A266"/>
      <c r="B266"/>
      <c r="C266"/>
      <c r="D266"/>
      <c r="E266"/>
      <c r="F266"/>
      <c r="G266"/>
      <c r="H266"/>
      <c r="I266"/>
      <c r="J266"/>
    </row>
    <row r="267" spans="1:10" ht="14.25">
      <c r="A267"/>
      <c r="B267"/>
      <c r="C267"/>
      <c r="D267"/>
      <c r="E267"/>
      <c r="F267"/>
      <c r="G267"/>
      <c r="H267"/>
      <c r="I267"/>
      <c r="J267"/>
    </row>
    <row r="268" spans="1:10" ht="14.25">
      <c r="A268"/>
      <c r="B268"/>
      <c r="C268"/>
      <c r="D268"/>
      <c r="E268"/>
      <c r="F268"/>
      <c r="G268"/>
      <c r="H268"/>
      <c r="I268"/>
      <c r="J268"/>
    </row>
    <row r="269" spans="1:10" ht="14.25">
      <c r="A269"/>
      <c r="B269"/>
      <c r="C269"/>
      <c r="D269"/>
      <c r="E269"/>
      <c r="F269"/>
      <c r="G269"/>
      <c r="H269"/>
      <c r="I269"/>
      <c r="J269"/>
    </row>
    <row r="270" spans="1:10" ht="14.25">
      <c r="A270"/>
      <c r="B270"/>
      <c r="C270"/>
      <c r="D270"/>
      <c r="E270"/>
      <c r="F270"/>
      <c r="G270"/>
      <c r="H270"/>
      <c r="I270"/>
      <c r="J270"/>
    </row>
    <row r="271" spans="1:10" ht="14.25">
      <c r="A271"/>
      <c r="B271"/>
      <c r="C271"/>
      <c r="D271"/>
      <c r="E271"/>
      <c r="F271"/>
      <c r="G271"/>
      <c r="H271"/>
      <c r="I271"/>
      <c r="J271"/>
    </row>
    <row r="272" spans="1:10" ht="14.25">
      <c r="A272"/>
      <c r="B272"/>
      <c r="C272"/>
      <c r="D272"/>
      <c r="E272"/>
      <c r="F272"/>
      <c r="G272"/>
      <c r="H272"/>
      <c r="I272"/>
      <c r="J272"/>
    </row>
    <row r="273" spans="1:10" ht="14.25">
      <c r="A273"/>
      <c r="B273"/>
      <c r="C273"/>
      <c r="D273"/>
      <c r="E273"/>
      <c r="F273"/>
      <c r="G273"/>
      <c r="H273"/>
      <c r="I273"/>
      <c r="J273"/>
    </row>
  </sheetData>
  <mergeCells count="9">
    <mergeCell ref="A1:K1"/>
    <mergeCell ref="A2:K2"/>
    <mergeCell ref="A3:K3"/>
    <mergeCell ref="A4:K4"/>
    <mergeCell ref="A7:K7"/>
    <mergeCell ref="B5:H5"/>
    <mergeCell ref="B6:H6"/>
    <mergeCell ref="I5:J6"/>
    <mergeCell ref="K5:K6"/>
  </mergeCells>
  <phoneticPr fontId="15" type="noConversion"/>
  <pageMargins left="0.51181102362204722" right="0.51181102362204722" top="0.78740157480314965" bottom="0.78740157480314965" header="0" footer="0"/>
  <pageSetup paperSize="9"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45"/>
  <sheetViews>
    <sheetView topLeftCell="A86" workbookViewId="0">
      <selection activeCell="C116" sqref="C116"/>
    </sheetView>
  </sheetViews>
  <sheetFormatPr defaultRowHeight="14.25"/>
  <cols>
    <col min="2" max="2" width="22.875" customWidth="1"/>
    <col min="3" max="3" width="19.625" customWidth="1"/>
    <col min="4" max="4" width="14.25" customWidth="1"/>
    <col min="5" max="5" width="13" customWidth="1"/>
    <col min="6" max="6" width="12" customWidth="1"/>
    <col min="7" max="7" width="16.625" customWidth="1"/>
  </cols>
  <sheetData>
    <row r="1" spans="2:16">
      <c r="J1" s="489"/>
      <c r="K1" s="489"/>
      <c r="L1" s="489"/>
      <c r="M1" s="489"/>
      <c r="N1" s="489"/>
      <c r="O1" s="489"/>
    </row>
    <row r="2" spans="2:16">
      <c r="B2" t="s">
        <v>329</v>
      </c>
      <c r="C2" t="s">
        <v>331</v>
      </c>
      <c r="D2" t="s">
        <v>332</v>
      </c>
      <c r="E2" t="s">
        <v>336</v>
      </c>
      <c r="F2" t="s">
        <v>335</v>
      </c>
      <c r="G2" t="s">
        <v>330</v>
      </c>
    </row>
    <row r="3" spans="2:16">
      <c r="B3" t="s">
        <v>333</v>
      </c>
      <c r="C3">
        <v>22.13</v>
      </c>
      <c r="D3">
        <v>0.5</v>
      </c>
      <c r="E3">
        <v>0.5</v>
      </c>
      <c r="F3">
        <f>C3*D3*E3</f>
        <v>5.5324999999999998</v>
      </c>
      <c r="G3" t="s">
        <v>334</v>
      </c>
      <c r="P3" s="269"/>
    </row>
    <row r="4" spans="2:16">
      <c r="B4" t="s">
        <v>337</v>
      </c>
      <c r="C4">
        <v>31.6</v>
      </c>
      <c r="D4">
        <v>0.5</v>
      </c>
      <c r="E4">
        <v>0.5</v>
      </c>
      <c r="F4">
        <f>C4*D4*E4</f>
        <v>7.9</v>
      </c>
      <c r="G4" t="s">
        <v>334</v>
      </c>
    </row>
    <row r="5" spans="2:16">
      <c r="B5" t="s">
        <v>338</v>
      </c>
      <c r="C5">
        <v>77.599999999999994</v>
      </c>
      <c r="D5">
        <v>0.5</v>
      </c>
      <c r="E5">
        <v>0.5</v>
      </c>
      <c r="F5">
        <f t="shared" ref="F5:F12" si="0">C5*D5*E5</f>
        <v>19.399999999999999</v>
      </c>
      <c r="G5" t="s">
        <v>334</v>
      </c>
    </row>
    <row r="6" spans="2:16">
      <c r="B6" t="s">
        <v>339</v>
      </c>
      <c r="C6">
        <v>66.819999999999993</v>
      </c>
      <c r="D6">
        <v>0.5</v>
      </c>
      <c r="E6">
        <v>0.5</v>
      </c>
      <c r="F6">
        <f t="shared" si="0"/>
        <v>16.704999999999998</v>
      </c>
      <c r="G6" t="s">
        <v>334</v>
      </c>
    </row>
    <row r="7" spans="2:16">
      <c r="B7" t="s">
        <v>340</v>
      </c>
      <c r="C7">
        <v>36.020000000000003</v>
      </c>
      <c r="D7">
        <v>0.5</v>
      </c>
      <c r="E7">
        <v>0.5</v>
      </c>
      <c r="F7">
        <f t="shared" si="0"/>
        <v>9.0050000000000008</v>
      </c>
      <c r="G7" t="s">
        <v>334</v>
      </c>
    </row>
    <row r="8" spans="2:16">
      <c r="B8" t="s">
        <v>341</v>
      </c>
      <c r="C8">
        <f>11.6*2+11*3</f>
        <v>56.2</v>
      </c>
      <c r="D8">
        <v>0.5</v>
      </c>
      <c r="E8">
        <v>0.5</v>
      </c>
      <c r="F8">
        <f t="shared" si="0"/>
        <v>14.05</v>
      </c>
      <c r="G8" t="s">
        <v>334</v>
      </c>
    </row>
    <row r="9" spans="2:16">
      <c r="B9" t="s">
        <v>342</v>
      </c>
      <c r="C9">
        <v>107</v>
      </c>
      <c r="D9">
        <v>0.5</v>
      </c>
      <c r="E9">
        <v>0.5</v>
      </c>
      <c r="F9">
        <f t="shared" si="0"/>
        <v>26.75</v>
      </c>
      <c r="G9" t="s">
        <v>334</v>
      </c>
    </row>
    <row r="10" spans="2:16">
      <c r="B10" t="s">
        <v>343</v>
      </c>
      <c r="C10">
        <v>61.71</v>
      </c>
      <c r="D10">
        <v>0.5</v>
      </c>
      <c r="E10">
        <v>0.5</v>
      </c>
      <c r="F10">
        <f t="shared" si="0"/>
        <v>15.4275</v>
      </c>
      <c r="G10" t="s">
        <v>334</v>
      </c>
    </row>
    <row r="11" spans="2:16">
      <c r="B11" t="s">
        <v>344</v>
      </c>
      <c r="C11">
        <v>15.2</v>
      </c>
      <c r="D11">
        <v>0.5</v>
      </c>
      <c r="E11">
        <v>0.5</v>
      </c>
      <c r="F11">
        <f t="shared" si="0"/>
        <v>3.8</v>
      </c>
      <c r="G11" t="s">
        <v>334</v>
      </c>
    </row>
    <row r="12" spans="2:16">
      <c r="B12" t="s">
        <v>345</v>
      </c>
      <c r="C12">
        <v>90</v>
      </c>
      <c r="D12">
        <v>0.5</v>
      </c>
      <c r="E12">
        <v>0.5</v>
      </c>
      <c r="F12">
        <f t="shared" si="0"/>
        <v>22.5</v>
      </c>
      <c r="G12" t="s">
        <v>334</v>
      </c>
    </row>
    <row r="13" spans="2:16">
      <c r="B13" t="s">
        <v>345</v>
      </c>
      <c r="C13">
        <v>90</v>
      </c>
      <c r="D13">
        <v>0.5</v>
      </c>
      <c r="E13">
        <v>0.5</v>
      </c>
      <c r="F13">
        <f t="shared" ref="F13" si="1">C13*D13*E13</f>
        <v>22.5</v>
      </c>
      <c r="G13" t="s">
        <v>346</v>
      </c>
    </row>
    <row r="14" spans="2:16">
      <c r="B14" t="s">
        <v>347</v>
      </c>
      <c r="C14">
        <f>38.6*2+15*2+15*2</f>
        <v>137.19999999999999</v>
      </c>
      <c r="D14">
        <v>0.5</v>
      </c>
      <c r="E14">
        <v>0.5</v>
      </c>
      <c r="F14">
        <f t="shared" ref="F14" si="2">C14*D14*E14</f>
        <v>34.299999999999997</v>
      </c>
      <c r="G14" t="s">
        <v>334</v>
      </c>
    </row>
    <row r="15" spans="2:16">
      <c r="B15" t="s">
        <v>350</v>
      </c>
      <c r="C15">
        <f>91.5+6.43</f>
        <v>97.93</v>
      </c>
      <c r="D15">
        <v>0.5</v>
      </c>
      <c r="E15">
        <v>0.5</v>
      </c>
      <c r="F15">
        <f t="shared" ref="F15:F21" si="3">C15*D15*E15</f>
        <v>24.482500000000002</v>
      </c>
      <c r="G15" t="s">
        <v>349</v>
      </c>
    </row>
    <row r="16" spans="2:16">
      <c r="B16" t="s">
        <v>350</v>
      </c>
      <c r="C16">
        <v>50.83</v>
      </c>
      <c r="D16">
        <v>0.5</v>
      </c>
      <c r="E16">
        <v>0.5</v>
      </c>
      <c r="F16">
        <f t="shared" si="3"/>
        <v>12.7075</v>
      </c>
      <c r="G16" t="s">
        <v>348</v>
      </c>
    </row>
    <row r="17" spans="2:7">
      <c r="B17" t="s">
        <v>351</v>
      </c>
      <c r="C17">
        <v>63</v>
      </c>
      <c r="D17">
        <v>0.5</v>
      </c>
      <c r="E17">
        <v>0.5</v>
      </c>
      <c r="F17">
        <f t="shared" si="3"/>
        <v>15.75</v>
      </c>
      <c r="G17" t="s">
        <v>352</v>
      </c>
    </row>
    <row r="18" spans="2:7">
      <c r="B18" t="s">
        <v>353</v>
      </c>
      <c r="C18">
        <f>32.5+21.6</f>
        <v>54.1</v>
      </c>
      <c r="D18">
        <v>0.5</v>
      </c>
      <c r="E18">
        <v>0.5</v>
      </c>
      <c r="F18">
        <f t="shared" si="3"/>
        <v>13.525</v>
      </c>
      <c r="G18" t="s">
        <v>349</v>
      </c>
    </row>
    <row r="19" spans="2:7">
      <c r="B19" t="s">
        <v>353</v>
      </c>
      <c r="C19">
        <v>21.46</v>
      </c>
      <c r="D19">
        <v>0.5</v>
      </c>
      <c r="E19">
        <v>0.5</v>
      </c>
      <c r="F19">
        <f t="shared" si="3"/>
        <v>5.3650000000000002</v>
      </c>
      <c r="G19" t="s">
        <v>348</v>
      </c>
    </row>
    <row r="20" spans="2:7">
      <c r="B20" t="s">
        <v>354</v>
      </c>
      <c r="C20">
        <v>78</v>
      </c>
      <c r="D20">
        <v>0.5</v>
      </c>
      <c r="E20">
        <v>0.5</v>
      </c>
      <c r="F20">
        <f t="shared" si="3"/>
        <v>19.5</v>
      </c>
      <c r="G20" t="s">
        <v>349</v>
      </c>
    </row>
    <row r="21" spans="2:7">
      <c r="B21" t="s">
        <v>354</v>
      </c>
      <c r="C21">
        <v>96</v>
      </c>
      <c r="D21">
        <v>0.5</v>
      </c>
      <c r="E21">
        <v>0.5</v>
      </c>
      <c r="F21">
        <f t="shared" si="3"/>
        <v>24</v>
      </c>
      <c r="G21" t="s">
        <v>352</v>
      </c>
    </row>
    <row r="22" spans="2:7">
      <c r="B22" t="s">
        <v>355</v>
      </c>
      <c r="C22">
        <f>48*2+18.4+7.8</f>
        <v>122.2</v>
      </c>
      <c r="D22">
        <v>0.5</v>
      </c>
      <c r="E22">
        <v>0.5</v>
      </c>
      <c r="F22">
        <f t="shared" ref="F22:F23" si="4">C22*D22*E22</f>
        <v>30.55</v>
      </c>
      <c r="G22" t="s">
        <v>349</v>
      </c>
    </row>
    <row r="23" spans="2:7">
      <c r="B23" t="s">
        <v>355</v>
      </c>
      <c r="C23">
        <v>20.6</v>
      </c>
      <c r="D23">
        <v>0.5</v>
      </c>
      <c r="E23">
        <v>0.5</v>
      </c>
      <c r="F23">
        <f t="shared" si="4"/>
        <v>5.15</v>
      </c>
      <c r="G23" t="s">
        <v>348</v>
      </c>
    </row>
    <row r="24" spans="2:7">
      <c r="B24" t="s">
        <v>355</v>
      </c>
      <c r="C24">
        <f>39+7.5</f>
        <v>46.5</v>
      </c>
      <c r="D24">
        <v>0.5</v>
      </c>
      <c r="E24">
        <v>0.5</v>
      </c>
      <c r="F24">
        <f t="shared" ref="F24:F25" si="5">C24*D24*E24</f>
        <v>11.625</v>
      </c>
      <c r="G24" t="s">
        <v>352</v>
      </c>
    </row>
    <row r="25" spans="2:7">
      <c r="B25" t="s">
        <v>355</v>
      </c>
      <c r="C25">
        <v>39</v>
      </c>
      <c r="D25">
        <v>0.5</v>
      </c>
      <c r="E25">
        <v>0.5</v>
      </c>
      <c r="F25">
        <f t="shared" si="5"/>
        <v>9.75</v>
      </c>
      <c r="G25" t="s">
        <v>352</v>
      </c>
    </row>
    <row r="26" spans="2:7">
      <c r="B26" t="s">
        <v>356</v>
      </c>
      <c r="C26">
        <f>17.31+17.31+18.44+27+12</f>
        <v>92.06</v>
      </c>
      <c r="D26">
        <v>0.5</v>
      </c>
      <c r="E26">
        <v>0.5</v>
      </c>
      <c r="F26">
        <f t="shared" ref="F26" si="6">C26*D26*E26</f>
        <v>23.015000000000001</v>
      </c>
      <c r="G26" t="s">
        <v>349</v>
      </c>
    </row>
    <row r="27" spans="2:7">
      <c r="B27" t="s">
        <v>357</v>
      </c>
      <c r="C27">
        <f>31.31+8</f>
        <v>39.31</v>
      </c>
      <c r="D27">
        <v>0.5</v>
      </c>
      <c r="E27">
        <v>0.5</v>
      </c>
      <c r="F27">
        <f t="shared" ref="F27:F28" si="7">C27*D27*E27</f>
        <v>9.8275000000000006</v>
      </c>
      <c r="G27" t="s">
        <v>349</v>
      </c>
    </row>
    <row r="28" spans="2:7">
      <c r="B28" t="s">
        <v>357</v>
      </c>
      <c r="C28">
        <f>50+8.3+8.6+13.6+6.44+17.71</f>
        <v>104.64999999999998</v>
      </c>
      <c r="D28">
        <v>0.5</v>
      </c>
      <c r="E28">
        <v>0.5</v>
      </c>
      <c r="F28">
        <f t="shared" si="7"/>
        <v>26.162499999999994</v>
      </c>
      <c r="G28" t="s">
        <v>346</v>
      </c>
    </row>
    <row r="29" spans="2:7">
      <c r="B29" t="s">
        <v>358</v>
      </c>
      <c r="C29">
        <v>18</v>
      </c>
      <c r="D29">
        <v>0.5</v>
      </c>
      <c r="E29">
        <v>0.5</v>
      </c>
      <c r="F29">
        <f t="shared" ref="F29:F60" si="8">C29*D29*E29</f>
        <v>4.5</v>
      </c>
      <c r="G29" t="s">
        <v>349</v>
      </c>
    </row>
    <row r="30" spans="2:7">
      <c r="B30" t="s">
        <v>435</v>
      </c>
      <c r="C30">
        <f>51.04+9.5+51.04+7.5</f>
        <v>119.08</v>
      </c>
      <c r="D30">
        <v>0.5</v>
      </c>
      <c r="E30">
        <v>0.5</v>
      </c>
      <c r="F30">
        <f t="shared" si="8"/>
        <v>29.77</v>
      </c>
      <c r="G30" t="s">
        <v>349</v>
      </c>
    </row>
    <row r="31" spans="2:7">
      <c r="B31" t="s">
        <v>435</v>
      </c>
      <c r="C31">
        <v>3</v>
      </c>
      <c r="D31">
        <v>0.5</v>
      </c>
      <c r="E31">
        <v>0.5</v>
      </c>
      <c r="F31">
        <f t="shared" si="8"/>
        <v>0.75</v>
      </c>
      <c r="G31" t="s">
        <v>436</v>
      </c>
    </row>
    <row r="32" spans="2:7">
      <c r="B32" t="s">
        <v>437</v>
      </c>
      <c r="C32">
        <v>51</v>
      </c>
      <c r="D32">
        <v>0.5</v>
      </c>
      <c r="E32">
        <v>0.5</v>
      </c>
      <c r="F32">
        <f t="shared" si="8"/>
        <v>12.75</v>
      </c>
      <c r="G32" t="s">
        <v>438</v>
      </c>
    </row>
    <row r="33" spans="2:7">
      <c r="B33" t="s">
        <v>439</v>
      </c>
      <c r="C33">
        <f>18+53+53+9+9</f>
        <v>142</v>
      </c>
      <c r="D33">
        <v>0.5</v>
      </c>
      <c r="E33">
        <v>0.5</v>
      </c>
      <c r="F33">
        <f t="shared" si="8"/>
        <v>35.5</v>
      </c>
      <c r="G33" t="s">
        <v>349</v>
      </c>
    </row>
    <row r="34" spans="2:7">
      <c r="B34" t="s">
        <v>439</v>
      </c>
      <c r="C34">
        <v>12</v>
      </c>
      <c r="D34">
        <v>0.5</v>
      </c>
      <c r="E34">
        <v>0.5</v>
      </c>
      <c r="F34">
        <f t="shared" si="8"/>
        <v>3</v>
      </c>
      <c r="G34" t="s">
        <v>436</v>
      </c>
    </row>
    <row r="35" spans="2:7">
      <c r="B35" t="s">
        <v>440</v>
      </c>
      <c r="C35">
        <v>54</v>
      </c>
      <c r="D35">
        <v>0.5</v>
      </c>
      <c r="E35">
        <v>0.5</v>
      </c>
      <c r="F35">
        <f t="shared" si="8"/>
        <v>13.5</v>
      </c>
      <c r="G35" t="s">
        <v>349</v>
      </c>
    </row>
    <row r="36" spans="2:7">
      <c r="B36" t="s">
        <v>440</v>
      </c>
      <c r="C36">
        <v>16</v>
      </c>
      <c r="D36">
        <v>0.5</v>
      </c>
      <c r="E36">
        <v>0.5</v>
      </c>
      <c r="F36">
        <f t="shared" si="8"/>
        <v>4</v>
      </c>
      <c r="G36" t="s">
        <v>438</v>
      </c>
    </row>
    <row r="37" spans="2:7">
      <c r="B37" t="s">
        <v>440</v>
      </c>
      <c r="C37">
        <v>54</v>
      </c>
      <c r="D37">
        <v>0.5</v>
      </c>
      <c r="E37">
        <v>0.5</v>
      </c>
      <c r="F37">
        <f t="shared" si="8"/>
        <v>13.5</v>
      </c>
      <c r="G37" t="s">
        <v>348</v>
      </c>
    </row>
    <row r="38" spans="2:7">
      <c r="B38" t="s">
        <v>441</v>
      </c>
      <c r="C38">
        <f>45.5+144-30-15</f>
        <v>144.5</v>
      </c>
      <c r="D38">
        <v>0.5</v>
      </c>
      <c r="E38">
        <v>0.5</v>
      </c>
      <c r="F38">
        <f t="shared" si="8"/>
        <v>36.125</v>
      </c>
      <c r="G38" t="s">
        <v>348</v>
      </c>
    </row>
    <row r="39" spans="2:7">
      <c r="B39" t="s">
        <v>441</v>
      </c>
      <c r="C39">
        <f>9+46</f>
        <v>55</v>
      </c>
      <c r="D39">
        <v>0.5</v>
      </c>
      <c r="E39">
        <v>0.5</v>
      </c>
      <c r="F39">
        <f t="shared" si="8"/>
        <v>13.75</v>
      </c>
      <c r="G39" t="s">
        <v>352</v>
      </c>
    </row>
    <row r="40" spans="2:7">
      <c r="B40" t="s">
        <v>441</v>
      </c>
      <c r="C40">
        <f>30+4.4+4.4+15</f>
        <v>53.8</v>
      </c>
      <c r="D40">
        <v>0.5</v>
      </c>
      <c r="E40">
        <v>0.5</v>
      </c>
      <c r="F40">
        <f t="shared" si="8"/>
        <v>13.45</v>
      </c>
      <c r="G40" t="s">
        <v>443</v>
      </c>
    </row>
    <row r="41" spans="2:7">
      <c r="B41" t="s">
        <v>442</v>
      </c>
      <c r="C41">
        <f>20+8*2</f>
        <v>36</v>
      </c>
      <c r="D41">
        <v>0.5</v>
      </c>
      <c r="E41">
        <v>0.5</v>
      </c>
      <c r="F41">
        <f t="shared" si="8"/>
        <v>9</v>
      </c>
      <c r="G41" t="s">
        <v>349</v>
      </c>
    </row>
    <row r="42" spans="2:7">
      <c r="B42" t="s">
        <v>442</v>
      </c>
      <c r="C42">
        <v>20</v>
      </c>
      <c r="D42">
        <v>0.5</v>
      </c>
      <c r="E42">
        <v>0.5</v>
      </c>
      <c r="F42">
        <f t="shared" si="8"/>
        <v>5</v>
      </c>
      <c r="G42" t="s">
        <v>443</v>
      </c>
    </row>
    <row r="43" spans="2:7">
      <c r="B43" t="s">
        <v>445</v>
      </c>
      <c r="C43">
        <f>63+8</f>
        <v>71</v>
      </c>
      <c r="D43">
        <v>0.5</v>
      </c>
      <c r="E43">
        <v>0.5</v>
      </c>
      <c r="F43">
        <f t="shared" si="8"/>
        <v>17.75</v>
      </c>
      <c r="G43" t="s">
        <v>443</v>
      </c>
    </row>
    <row r="44" spans="2:7">
      <c r="B44" t="s">
        <v>445</v>
      </c>
      <c r="C44">
        <v>16</v>
      </c>
      <c r="D44">
        <v>0.5</v>
      </c>
      <c r="E44">
        <v>0.5</v>
      </c>
      <c r="F44">
        <f t="shared" si="8"/>
        <v>4</v>
      </c>
      <c r="G44" t="s">
        <v>436</v>
      </c>
    </row>
    <row r="45" spans="2:7">
      <c r="B45" t="s">
        <v>445</v>
      </c>
      <c r="C45">
        <v>56</v>
      </c>
      <c r="D45">
        <v>0.5</v>
      </c>
      <c r="E45">
        <v>0.5</v>
      </c>
      <c r="F45">
        <f t="shared" si="8"/>
        <v>14</v>
      </c>
      <c r="G45" t="s">
        <v>349</v>
      </c>
    </row>
    <row r="46" spans="2:7">
      <c r="B46" t="s">
        <v>444</v>
      </c>
      <c r="C46">
        <v>51</v>
      </c>
      <c r="D46">
        <v>0.5</v>
      </c>
      <c r="E46">
        <v>0.5</v>
      </c>
      <c r="F46">
        <f t="shared" si="8"/>
        <v>12.75</v>
      </c>
      <c r="G46" t="s">
        <v>348</v>
      </c>
    </row>
    <row r="47" spans="2:7">
      <c r="B47" t="s">
        <v>446</v>
      </c>
      <c r="C47">
        <f>57*3+10+10-12</f>
        <v>179</v>
      </c>
      <c r="D47">
        <v>0.5</v>
      </c>
      <c r="E47">
        <v>0.5</v>
      </c>
      <c r="F47">
        <f t="shared" si="8"/>
        <v>44.75</v>
      </c>
      <c r="G47" t="s">
        <v>349</v>
      </c>
    </row>
    <row r="48" spans="2:7">
      <c r="B48" t="s">
        <v>447</v>
      </c>
      <c r="C48">
        <v>12</v>
      </c>
      <c r="D48">
        <v>0.5</v>
      </c>
      <c r="E48">
        <v>0.5</v>
      </c>
      <c r="F48">
        <f t="shared" si="8"/>
        <v>3</v>
      </c>
      <c r="G48" t="s">
        <v>436</v>
      </c>
    </row>
    <row r="49" spans="2:7">
      <c r="B49" t="s">
        <v>447</v>
      </c>
      <c r="C49">
        <f>3.5*2</f>
        <v>7</v>
      </c>
      <c r="D49">
        <v>0.5</v>
      </c>
      <c r="E49">
        <v>0.5</v>
      </c>
      <c r="F49">
        <f t="shared" si="8"/>
        <v>1.75</v>
      </c>
      <c r="G49" t="s">
        <v>443</v>
      </c>
    </row>
    <row r="50" spans="2:7">
      <c r="B50" t="s">
        <v>448</v>
      </c>
      <c r="C50">
        <f>10*3+35+26+22+22+22-5</f>
        <v>152</v>
      </c>
      <c r="D50">
        <v>0.5</v>
      </c>
      <c r="E50">
        <v>0.5</v>
      </c>
      <c r="F50">
        <f t="shared" si="8"/>
        <v>38</v>
      </c>
      <c r="G50" t="s">
        <v>349</v>
      </c>
    </row>
    <row r="51" spans="2:7">
      <c r="B51" t="s">
        <v>448</v>
      </c>
      <c r="C51">
        <f>3*3+5</f>
        <v>14</v>
      </c>
      <c r="D51">
        <v>0.5</v>
      </c>
      <c r="E51">
        <v>0.5</v>
      </c>
      <c r="F51">
        <f t="shared" si="8"/>
        <v>3.5</v>
      </c>
      <c r="G51" t="s">
        <v>443</v>
      </c>
    </row>
    <row r="52" spans="2:7">
      <c r="B52" t="s">
        <v>449</v>
      </c>
      <c r="C52">
        <v>4.8099999999999996</v>
      </c>
      <c r="D52">
        <v>0.5</v>
      </c>
      <c r="E52">
        <v>0.5</v>
      </c>
      <c r="F52">
        <f t="shared" si="8"/>
        <v>1.2024999999999999</v>
      </c>
      <c r="G52" t="s">
        <v>349</v>
      </c>
    </row>
    <row r="53" spans="2:7">
      <c r="B53" t="s">
        <v>501</v>
      </c>
      <c r="C53">
        <v>16</v>
      </c>
      <c r="D53">
        <v>0.5</v>
      </c>
      <c r="E53">
        <v>0.5</v>
      </c>
      <c r="F53">
        <f t="shared" si="8"/>
        <v>4</v>
      </c>
      <c r="G53" t="s">
        <v>349</v>
      </c>
    </row>
    <row r="54" spans="2:7">
      <c r="B54" t="s">
        <v>501</v>
      </c>
      <c r="D54">
        <v>0.5</v>
      </c>
      <c r="E54">
        <v>0.5</v>
      </c>
      <c r="F54">
        <f t="shared" si="8"/>
        <v>0</v>
      </c>
      <c r="G54" t="s">
        <v>506</v>
      </c>
    </row>
    <row r="55" spans="2:7">
      <c r="B55" t="s">
        <v>502</v>
      </c>
      <c r="C55">
        <v>40</v>
      </c>
      <c r="D55">
        <v>0.5</v>
      </c>
      <c r="E55">
        <v>0.5</v>
      </c>
      <c r="F55">
        <f t="shared" si="8"/>
        <v>10</v>
      </c>
      <c r="G55" t="s">
        <v>349</v>
      </c>
    </row>
    <row r="56" spans="2:7">
      <c r="B56" t="s">
        <v>502</v>
      </c>
      <c r="D56">
        <v>0.5</v>
      </c>
      <c r="E56">
        <v>0.5</v>
      </c>
      <c r="F56">
        <f t="shared" si="8"/>
        <v>0</v>
      </c>
      <c r="G56" t="s">
        <v>348</v>
      </c>
    </row>
    <row r="57" spans="2:7">
      <c r="B57" t="s">
        <v>503</v>
      </c>
      <c r="C57">
        <v>5</v>
      </c>
      <c r="D57">
        <v>0.5</v>
      </c>
      <c r="E57">
        <v>0.5</v>
      </c>
      <c r="F57">
        <f t="shared" si="8"/>
        <v>1.25</v>
      </c>
      <c r="G57" t="s">
        <v>349</v>
      </c>
    </row>
    <row r="58" spans="2:7">
      <c r="B58" t="s">
        <v>504</v>
      </c>
      <c r="C58">
        <v>5</v>
      </c>
      <c r="D58">
        <v>0.5</v>
      </c>
      <c r="E58">
        <v>0.5</v>
      </c>
      <c r="F58">
        <f t="shared" si="8"/>
        <v>1.25</v>
      </c>
      <c r="G58" t="s">
        <v>349</v>
      </c>
    </row>
    <row r="59" spans="2:7">
      <c r="B59" t="s">
        <v>358</v>
      </c>
      <c r="C59">
        <f>(12+8.5)*2</f>
        <v>41</v>
      </c>
      <c r="D59">
        <v>0.5</v>
      </c>
      <c r="E59">
        <v>0.5</v>
      </c>
      <c r="F59">
        <f t="shared" si="8"/>
        <v>10.25</v>
      </c>
      <c r="G59" t="s">
        <v>349</v>
      </c>
    </row>
    <row r="60" spans="2:7">
      <c r="B60" t="s">
        <v>505</v>
      </c>
      <c r="C60">
        <f>(7.5+8.9)*2</f>
        <v>32.799999999999997</v>
      </c>
      <c r="D60">
        <v>0.5</v>
      </c>
      <c r="E60">
        <v>0.5</v>
      </c>
      <c r="F60">
        <f t="shared" si="8"/>
        <v>8.1999999999999993</v>
      </c>
      <c r="G60" t="s">
        <v>349</v>
      </c>
    </row>
    <row r="63" spans="2:7">
      <c r="B63" s="344" t="s">
        <v>345</v>
      </c>
      <c r="C63" s="344">
        <v>90</v>
      </c>
      <c r="D63" s="344">
        <v>0.4</v>
      </c>
      <c r="E63" s="344">
        <v>0.5</v>
      </c>
      <c r="F63" s="344">
        <v>22.5</v>
      </c>
      <c r="G63" s="344" t="s">
        <v>346</v>
      </c>
    </row>
    <row r="64" spans="2:7">
      <c r="B64" s="344" t="s">
        <v>350</v>
      </c>
      <c r="C64" s="344">
        <v>50.83</v>
      </c>
      <c r="D64" s="344">
        <v>0.4</v>
      </c>
      <c r="E64" s="344">
        <v>0.5</v>
      </c>
      <c r="F64" s="344">
        <v>12.7075</v>
      </c>
      <c r="G64" s="344" t="s">
        <v>348</v>
      </c>
    </row>
    <row r="65" spans="2:8">
      <c r="B65" s="344" t="s">
        <v>351</v>
      </c>
      <c r="C65" s="344">
        <v>63</v>
      </c>
      <c r="D65" s="344">
        <v>0.4</v>
      </c>
      <c r="E65" s="344">
        <v>0.5</v>
      </c>
      <c r="F65" s="344">
        <v>15.75</v>
      </c>
      <c r="G65" s="344" t="s">
        <v>352</v>
      </c>
    </row>
    <row r="66" spans="2:8">
      <c r="B66" s="344" t="s">
        <v>353</v>
      </c>
      <c r="C66" s="344">
        <v>21.46</v>
      </c>
      <c r="D66" s="344">
        <v>0.4</v>
      </c>
      <c r="E66" s="344">
        <v>0.5</v>
      </c>
      <c r="F66" s="344">
        <v>5.3650000000000002</v>
      </c>
      <c r="G66" s="344" t="s">
        <v>348</v>
      </c>
    </row>
    <row r="67" spans="2:8">
      <c r="B67" s="344" t="s">
        <v>354</v>
      </c>
      <c r="C67" s="344">
        <v>96</v>
      </c>
      <c r="D67" s="344">
        <v>0.4</v>
      </c>
      <c r="E67" s="344">
        <v>0.5</v>
      </c>
      <c r="F67" s="344">
        <v>24</v>
      </c>
      <c r="G67" s="344" t="s">
        <v>352</v>
      </c>
    </row>
    <row r="68" spans="2:8">
      <c r="B68" s="344" t="s">
        <v>355</v>
      </c>
      <c r="C68" s="344">
        <v>20.6</v>
      </c>
      <c r="D68" s="344">
        <v>0.4</v>
      </c>
      <c r="E68" s="344">
        <v>0.5</v>
      </c>
      <c r="F68" s="344">
        <v>5.15</v>
      </c>
      <c r="G68" s="344" t="s">
        <v>348</v>
      </c>
    </row>
    <row r="69" spans="2:8">
      <c r="B69" s="344" t="s">
        <v>355</v>
      </c>
      <c r="C69" s="344">
        <v>46.5</v>
      </c>
      <c r="D69" s="344">
        <v>0.4</v>
      </c>
      <c r="E69" s="344">
        <v>0.5</v>
      </c>
      <c r="F69" s="344">
        <v>11.625</v>
      </c>
      <c r="G69" s="344" t="s">
        <v>352</v>
      </c>
    </row>
    <row r="70" spans="2:8">
      <c r="B70" s="344" t="s">
        <v>355</v>
      </c>
      <c r="C70" s="344">
        <v>39</v>
      </c>
      <c r="D70" s="344">
        <v>0.4</v>
      </c>
      <c r="E70" s="344">
        <v>0.5</v>
      </c>
      <c r="F70" s="344">
        <v>9.75</v>
      </c>
      <c r="G70" s="344" t="s">
        <v>352</v>
      </c>
    </row>
    <row r="71" spans="2:8">
      <c r="B71" s="344" t="s">
        <v>357</v>
      </c>
      <c r="C71" s="344">
        <v>104.64999999999998</v>
      </c>
      <c r="D71" s="344">
        <v>0.4</v>
      </c>
      <c r="E71" s="344">
        <v>0.5</v>
      </c>
      <c r="F71" s="344">
        <v>26.162499999999994</v>
      </c>
      <c r="G71" s="344" t="s">
        <v>346</v>
      </c>
    </row>
    <row r="72" spans="2:8">
      <c r="B72" s="344" t="s">
        <v>440</v>
      </c>
      <c r="C72" s="344">
        <v>54</v>
      </c>
      <c r="D72" s="344">
        <v>0.4</v>
      </c>
      <c r="E72" s="344">
        <v>0.5</v>
      </c>
      <c r="F72" s="344">
        <v>13.5</v>
      </c>
      <c r="G72" s="344" t="s">
        <v>348</v>
      </c>
    </row>
    <row r="73" spans="2:8">
      <c r="B73" s="344" t="s">
        <v>441</v>
      </c>
      <c r="C73" s="344">
        <v>144.5</v>
      </c>
      <c r="D73" s="344">
        <v>0.4</v>
      </c>
      <c r="E73" s="344">
        <v>0.5</v>
      </c>
      <c r="F73" s="344">
        <v>36.125</v>
      </c>
      <c r="G73" s="344" t="s">
        <v>348</v>
      </c>
    </row>
    <row r="74" spans="2:8">
      <c r="B74" s="344" t="s">
        <v>441</v>
      </c>
      <c r="C74" s="344">
        <v>55</v>
      </c>
      <c r="D74" s="344">
        <v>0.4</v>
      </c>
      <c r="E74" s="344">
        <v>0.5</v>
      </c>
      <c r="F74" s="344">
        <v>13.75</v>
      </c>
      <c r="G74" s="344" t="s">
        <v>352</v>
      </c>
    </row>
    <row r="75" spans="2:8">
      <c r="B75" s="344" t="s">
        <v>444</v>
      </c>
      <c r="C75" s="344">
        <v>51</v>
      </c>
      <c r="D75" s="344">
        <v>0.4</v>
      </c>
      <c r="E75" s="344">
        <v>0.5</v>
      </c>
      <c r="F75" s="344">
        <v>12.75</v>
      </c>
      <c r="G75" s="344" t="s">
        <v>348</v>
      </c>
    </row>
    <row r="76" spans="2:8">
      <c r="B76" s="344" t="s">
        <v>469</v>
      </c>
      <c r="C76" s="344">
        <v>45</v>
      </c>
      <c r="D76" s="344">
        <v>0.4</v>
      </c>
      <c r="E76" s="344">
        <v>0.5</v>
      </c>
      <c r="F76" s="344">
        <v>12.75</v>
      </c>
      <c r="G76" s="344" t="s">
        <v>348</v>
      </c>
    </row>
    <row r="77" spans="2:8">
      <c r="B77" s="344" t="str">
        <f>B54</f>
        <v>Casa do Mel</v>
      </c>
      <c r="C77" s="344">
        <f t="shared" ref="C77:G78" si="9">C54</f>
        <v>0</v>
      </c>
      <c r="D77" s="344">
        <v>0.4</v>
      </c>
      <c r="E77" s="344">
        <f t="shared" si="9"/>
        <v>0.5</v>
      </c>
      <c r="F77" s="344">
        <f t="shared" si="9"/>
        <v>0</v>
      </c>
      <c r="G77" s="344" t="str">
        <f t="shared" si="9"/>
        <v>Concreto</v>
      </c>
    </row>
    <row r="78" spans="2:8">
      <c r="B78" s="344" t="str">
        <f>B56</f>
        <v>Viveiro</v>
      </c>
      <c r="C78" s="344"/>
      <c r="D78" s="344">
        <v>0.4</v>
      </c>
      <c r="E78" s="344">
        <f t="shared" si="9"/>
        <v>0.5</v>
      </c>
      <c r="F78" s="344">
        <f t="shared" si="9"/>
        <v>10</v>
      </c>
      <c r="G78" s="344" t="str">
        <f t="shared" si="9"/>
        <v>areia</v>
      </c>
    </row>
    <row r="79" spans="2:8">
      <c r="B79" s="344"/>
      <c r="C79" s="344">
        <f>SUBTOTAL(9,C63:C78)</f>
        <v>881.54</v>
      </c>
      <c r="D79" s="344">
        <v>0.4</v>
      </c>
      <c r="E79" s="344">
        <v>0.4</v>
      </c>
      <c r="F79" s="344">
        <f>E79*D79*C79</f>
        <v>141.04640000000003</v>
      </c>
      <c r="G79" s="344" t="s">
        <v>450</v>
      </c>
      <c r="H79" t="s">
        <v>4</v>
      </c>
    </row>
    <row r="80" spans="2:8">
      <c r="B80" s="281"/>
      <c r="C80" s="344">
        <f>C63+C65+C67+C69+C70+C71+C74</f>
        <v>494.15</v>
      </c>
      <c r="D80" s="344">
        <v>0.4</v>
      </c>
      <c r="E80" s="344"/>
      <c r="F80" s="344">
        <f>D80*C80</f>
        <v>197.66</v>
      </c>
      <c r="G80" s="344" t="s">
        <v>451</v>
      </c>
      <c r="H80" t="s">
        <v>3</v>
      </c>
    </row>
    <row r="81" spans="2:8">
      <c r="B81" s="281"/>
      <c r="C81" s="344">
        <f>C64+C66+C68+C72+C73+C75+C76+C77+C78</f>
        <v>387.39</v>
      </c>
      <c r="D81" s="344">
        <v>0.4</v>
      </c>
      <c r="E81" s="344"/>
      <c r="F81" s="344">
        <f>D81*C81</f>
        <v>154.95600000000002</v>
      </c>
      <c r="G81" s="344" t="s">
        <v>452</v>
      </c>
      <c r="H81" t="s">
        <v>453</v>
      </c>
    </row>
    <row r="83" spans="2:8">
      <c r="B83" s="345" t="s">
        <v>333</v>
      </c>
      <c r="C83" s="345">
        <v>22.13</v>
      </c>
      <c r="D83" s="345">
        <v>0.4</v>
      </c>
      <c r="E83" s="345">
        <v>0.5</v>
      </c>
      <c r="F83" s="345">
        <v>5.5324999999999998</v>
      </c>
      <c r="G83" s="345" t="s">
        <v>334</v>
      </c>
    </row>
    <row r="84" spans="2:8">
      <c r="B84" s="345" t="s">
        <v>337</v>
      </c>
      <c r="C84" s="345"/>
      <c r="D84" s="345">
        <v>0.4</v>
      </c>
      <c r="E84" s="345">
        <v>0.5</v>
      </c>
      <c r="F84" s="345">
        <v>7.9</v>
      </c>
      <c r="G84" s="345" t="s">
        <v>334</v>
      </c>
    </row>
    <row r="85" spans="2:8">
      <c r="B85" s="345" t="s">
        <v>338</v>
      </c>
      <c r="C85" s="345"/>
      <c r="D85" s="345">
        <v>0.4</v>
      </c>
      <c r="E85" s="345">
        <v>0.5</v>
      </c>
      <c r="F85" s="345">
        <v>19.399999999999999</v>
      </c>
      <c r="G85" s="345" t="s">
        <v>334</v>
      </c>
    </row>
    <row r="86" spans="2:8">
      <c r="B86" s="345" t="s">
        <v>339</v>
      </c>
      <c r="C86" s="345"/>
      <c r="D86" s="345">
        <v>0.4</v>
      </c>
      <c r="E86" s="345">
        <v>0.5</v>
      </c>
      <c r="F86" s="345">
        <v>16.704999999999998</v>
      </c>
      <c r="G86" s="345" t="s">
        <v>334</v>
      </c>
    </row>
    <row r="87" spans="2:8">
      <c r="B87" s="345" t="s">
        <v>340</v>
      </c>
      <c r="C87" s="345"/>
      <c r="D87" s="345">
        <v>0.4</v>
      </c>
      <c r="E87" s="345">
        <v>0.5</v>
      </c>
      <c r="F87" s="345">
        <v>9.0050000000000008</v>
      </c>
      <c r="G87" s="345" t="s">
        <v>334</v>
      </c>
    </row>
    <row r="88" spans="2:8">
      <c r="B88" s="345" t="s">
        <v>341</v>
      </c>
      <c r="C88" s="345"/>
      <c r="D88" s="345">
        <v>0.4</v>
      </c>
      <c r="E88" s="345">
        <v>0.5</v>
      </c>
      <c r="F88" s="345">
        <v>14.05</v>
      </c>
      <c r="G88" s="345" t="s">
        <v>334</v>
      </c>
    </row>
    <row r="89" spans="2:8">
      <c r="B89" s="345" t="s">
        <v>342</v>
      </c>
      <c r="C89" s="345">
        <v>120</v>
      </c>
      <c r="D89" s="345">
        <v>0.4</v>
      </c>
      <c r="E89" s="345">
        <v>0.5</v>
      </c>
      <c r="F89" s="345">
        <v>26.75</v>
      </c>
      <c r="G89" s="345" t="s">
        <v>334</v>
      </c>
    </row>
    <row r="90" spans="2:8">
      <c r="B90" s="345" t="s">
        <v>343</v>
      </c>
      <c r="C90" s="345"/>
      <c r="D90" s="345">
        <v>0.4</v>
      </c>
      <c r="E90" s="345">
        <v>0.5</v>
      </c>
      <c r="F90" s="345">
        <v>15.4275</v>
      </c>
      <c r="G90" s="345" t="s">
        <v>334</v>
      </c>
    </row>
    <row r="91" spans="2:8">
      <c r="B91" s="345" t="s">
        <v>344</v>
      </c>
      <c r="C91" s="345"/>
      <c r="D91" s="345">
        <v>0.4</v>
      </c>
      <c r="E91" s="345">
        <v>0.5</v>
      </c>
      <c r="F91" s="345">
        <v>3.8</v>
      </c>
      <c r="G91" s="345" t="s">
        <v>334</v>
      </c>
    </row>
    <row r="92" spans="2:8">
      <c r="B92" s="345" t="s">
        <v>345</v>
      </c>
      <c r="C92" s="345">
        <v>90</v>
      </c>
      <c r="D92" s="345">
        <v>0.4</v>
      </c>
      <c r="E92" s="345">
        <v>0.5</v>
      </c>
      <c r="F92" s="345">
        <v>22.5</v>
      </c>
      <c r="G92" s="345" t="s">
        <v>334</v>
      </c>
    </row>
    <row r="93" spans="2:8">
      <c r="B93" s="345" t="s">
        <v>347</v>
      </c>
      <c r="C93" s="345"/>
      <c r="D93" s="345">
        <v>0.4</v>
      </c>
      <c r="E93" s="345">
        <v>0.5</v>
      </c>
      <c r="F93" s="345">
        <v>34.299999999999997</v>
      </c>
      <c r="G93" s="345" t="s">
        <v>334</v>
      </c>
    </row>
    <row r="94" spans="2:8">
      <c r="B94" s="345" t="s">
        <v>350</v>
      </c>
      <c r="C94" s="345">
        <v>97.93</v>
      </c>
      <c r="D94" s="345">
        <v>0.4</v>
      </c>
      <c r="E94" s="345">
        <v>0.5</v>
      </c>
      <c r="F94" s="345">
        <v>24.482500000000002</v>
      </c>
      <c r="G94" s="345" t="s">
        <v>349</v>
      </c>
    </row>
    <row r="95" spans="2:8">
      <c r="B95" s="345" t="s">
        <v>353</v>
      </c>
      <c r="C95" s="345">
        <v>54.1</v>
      </c>
      <c r="D95" s="345">
        <v>0.4</v>
      </c>
      <c r="E95" s="345">
        <v>0.5</v>
      </c>
      <c r="F95" s="345">
        <v>13.525</v>
      </c>
      <c r="G95" s="345" t="s">
        <v>349</v>
      </c>
    </row>
    <row r="96" spans="2:8">
      <c r="B96" s="345" t="s">
        <v>354</v>
      </c>
      <c r="C96" s="345">
        <v>78</v>
      </c>
      <c r="D96" s="345">
        <v>0.4</v>
      </c>
      <c r="E96" s="345">
        <v>0.5</v>
      </c>
      <c r="F96" s="345">
        <v>19.5</v>
      </c>
      <c r="G96" s="345" t="s">
        <v>349</v>
      </c>
    </row>
    <row r="97" spans="2:7">
      <c r="B97" s="345" t="s">
        <v>355</v>
      </c>
      <c r="C97" s="345">
        <v>122.2</v>
      </c>
      <c r="D97" s="345">
        <v>0.4</v>
      </c>
      <c r="E97" s="345">
        <v>0.5</v>
      </c>
      <c r="F97" s="345">
        <v>30.55</v>
      </c>
      <c r="G97" s="345" t="s">
        <v>349</v>
      </c>
    </row>
    <row r="98" spans="2:7">
      <c r="B98" s="345" t="s">
        <v>356</v>
      </c>
      <c r="C98" s="345">
        <v>92.06</v>
      </c>
      <c r="D98" s="345">
        <v>0.4</v>
      </c>
      <c r="E98" s="345">
        <v>0.5</v>
      </c>
      <c r="F98" s="345">
        <v>23.015000000000001</v>
      </c>
      <c r="G98" s="345" t="s">
        <v>349</v>
      </c>
    </row>
    <row r="99" spans="2:7">
      <c r="B99" s="345" t="s">
        <v>357</v>
      </c>
      <c r="C99" s="345">
        <v>39.31</v>
      </c>
      <c r="D99" s="345">
        <v>0.4</v>
      </c>
      <c r="E99" s="345">
        <v>0.5</v>
      </c>
      <c r="F99" s="345">
        <v>9.8275000000000006</v>
      </c>
      <c r="G99" s="345" t="s">
        <v>349</v>
      </c>
    </row>
    <row r="100" spans="2:7">
      <c r="B100" s="345" t="s">
        <v>358</v>
      </c>
      <c r="C100" s="345">
        <v>18</v>
      </c>
      <c r="D100" s="345">
        <v>0.4</v>
      </c>
      <c r="E100" s="345">
        <v>0.5</v>
      </c>
      <c r="F100" s="345">
        <v>4.5</v>
      </c>
      <c r="G100" s="345" t="s">
        <v>349</v>
      </c>
    </row>
    <row r="101" spans="2:7">
      <c r="B101" s="345" t="s">
        <v>435</v>
      </c>
      <c r="C101" s="345">
        <v>119.08</v>
      </c>
      <c r="D101" s="345">
        <v>0.4</v>
      </c>
      <c r="E101" s="345">
        <v>0.5</v>
      </c>
      <c r="F101" s="345">
        <v>29.77</v>
      </c>
      <c r="G101" s="345" t="s">
        <v>349</v>
      </c>
    </row>
    <row r="102" spans="2:7">
      <c r="B102" s="345" t="s">
        <v>439</v>
      </c>
      <c r="C102" s="345">
        <v>142</v>
      </c>
      <c r="D102" s="345">
        <v>0.4</v>
      </c>
      <c r="E102" s="345">
        <v>0.5</v>
      </c>
      <c r="F102" s="345">
        <v>35.5</v>
      </c>
      <c r="G102" s="345" t="s">
        <v>349</v>
      </c>
    </row>
    <row r="103" spans="2:7">
      <c r="B103" s="345" t="s">
        <v>440</v>
      </c>
      <c r="C103" s="345">
        <v>54</v>
      </c>
      <c r="D103" s="345">
        <v>0.4</v>
      </c>
      <c r="E103" s="345">
        <v>0.5</v>
      </c>
      <c r="F103" s="345">
        <v>13.5</v>
      </c>
      <c r="G103" s="345" t="s">
        <v>349</v>
      </c>
    </row>
    <row r="104" spans="2:7">
      <c r="B104" s="345" t="s">
        <v>442</v>
      </c>
      <c r="C104" s="345">
        <v>36</v>
      </c>
      <c r="D104" s="345">
        <v>0.4</v>
      </c>
      <c r="E104" s="345">
        <v>0.5</v>
      </c>
      <c r="F104" s="345">
        <v>9</v>
      </c>
      <c r="G104" s="345" t="s">
        <v>349</v>
      </c>
    </row>
    <row r="105" spans="2:7">
      <c r="B105" s="345" t="s">
        <v>445</v>
      </c>
      <c r="C105" s="345">
        <v>56</v>
      </c>
      <c r="D105" s="345">
        <v>0.4</v>
      </c>
      <c r="E105" s="345">
        <v>0.5</v>
      </c>
      <c r="F105" s="345">
        <v>14</v>
      </c>
      <c r="G105" s="345" t="s">
        <v>349</v>
      </c>
    </row>
    <row r="106" spans="2:7">
      <c r="B106" s="345" t="s">
        <v>446</v>
      </c>
      <c r="C106" s="345">
        <v>179</v>
      </c>
      <c r="D106" s="345">
        <v>0.4</v>
      </c>
      <c r="E106" s="345">
        <v>0.5</v>
      </c>
      <c r="F106" s="345">
        <v>44.75</v>
      </c>
      <c r="G106" s="345" t="s">
        <v>349</v>
      </c>
    </row>
    <row r="107" spans="2:7">
      <c r="B107" s="345" t="s">
        <v>448</v>
      </c>
      <c r="C107" s="345">
        <v>152</v>
      </c>
      <c r="D107" s="345">
        <v>0.4</v>
      </c>
      <c r="E107" s="345">
        <v>0.5</v>
      </c>
      <c r="F107" s="345">
        <v>38</v>
      </c>
      <c r="G107" s="345" t="s">
        <v>349</v>
      </c>
    </row>
    <row r="108" spans="2:7">
      <c r="B108" s="345" t="s">
        <v>449</v>
      </c>
      <c r="C108" s="345">
        <v>4.8099999999999996</v>
      </c>
      <c r="D108" s="345">
        <v>0.4</v>
      </c>
      <c r="E108" s="345">
        <v>0.5</v>
      </c>
      <c r="F108" s="345">
        <v>1.2024999999999999</v>
      </c>
      <c r="G108" s="345" t="s">
        <v>349</v>
      </c>
    </row>
    <row r="109" spans="2:7">
      <c r="B109" s="345" t="s">
        <v>469</v>
      </c>
      <c r="C109" s="345">
        <v>35</v>
      </c>
      <c r="D109" s="345">
        <v>0.4</v>
      </c>
      <c r="E109" s="345">
        <v>0.5</v>
      </c>
      <c r="F109" s="345">
        <v>1.2024999999999999</v>
      </c>
      <c r="G109" s="345" t="s">
        <v>349</v>
      </c>
    </row>
    <row r="110" spans="2:7">
      <c r="B110" s="345" t="str">
        <f>B53</f>
        <v>Casa do Mel</v>
      </c>
      <c r="C110" s="345">
        <f>C53</f>
        <v>16</v>
      </c>
      <c r="D110" s="345">
        <v>0.4</v>
      </c>
      <c r="E110" s="345">
        <f t="shared" ref="E110:G110" si="10">E53</f>
        <v>0.5</v>
      </c>
      <c r="F110" s="345">
        <f t="shared" si="10"/>
        <v>4</v>
      </c>
      <c r="G110" s="345" t="str">
        <f t="shared" si="10"/>
        <v>areia</v>
      </c>
    </row>
    <row r="111" spans="2:7">
      <c r="B111" s="345" t="str">
        <f>B55</f>
        <v>Viveiro</v>
      </c>
      <c r="C111" s="345">
        <f>C55</f>
        <v>40</v>
      </c>
      <c r="D111" s="345">
        <v>0.4</v>
      </c>
      <c r="E111" s="345">
        <f t="shared" ref="E111:G111" si="11">E55</f>
        <v>0.5</v>
      </c>
      <c r="F111" s="345">
        <f t="shared" si="11"/>
        <v>10</v>
      </c>
      <c r="G111" s="345" t="str">
        <f t="shared" si="11"/>
        <v>areia</v>
      </c>
    </row>
    <row r="112" spans="2:7">
      <c r="B112" s="345" t="str">
        <f>B57</f>
        <v>Poço 2</v>
      </c>
      <c r="C112" s="345">
        <f>C57</f>
        <v>5</v>
      </c>
      <c r="D112" s="345">
        <v>0.4</v>
      </c>
      <c r="E112" s="345">
        <f t="shared" ref="E112:G112" si="12">E57</f>
        <v>0.5</v>
      </c>
      <c r="F112" s="345">
        <f t="shared" si="12"/>
        <v>1.25</v>
      </c>
      <c r="G112" s="345" t="str">
        <f t="shared" si="12"/>
        <v>areia</v>
      </c>
    </row>
    <row r="113" spans="2:8">
      <c r="B113" s="345" t="str">
        <f>B58</f>
        <v>Poço 3</v>
      </c>
      <c r="C113" s="345">
        <f t="shared" ref="C113:G113" si="13">C58</f>
        <v>5</v>
      </c>
      <c r="D113" s="345">
        <v>0.4</v>
      </c>
      <c r="E113" s="345">
        <f t="shared" si="13"/>
        <v>0.5</v>
      </c>
      <c r="F113" s="345">
        <f t="shared" si="13"/>
        <v>1.25</v>
      </c>
      <c r="G113" s="345" t="str">
        <f t="shared" si="13"/>
        <v>areia</v>
      </c>
    </row>
    <row r="114" spans="2:8">
      <c r="B114" s="345" t="str">
        <f>B59</f>
        <v>Gerador 2</v>
      </c>
      <c r="C114" s="345">
        <f t="shared" ref="C114:G114" si="14">C59</f>
        <v>41</v>
      </c>
      <c r="D114" s="345">
        <v>0.4</v>
      </c>
      <c r="E114" s="345">
        <f t="shared" si="14"/>
        <v>0.5</v>
      </c>
      <c r="F114" s="345">
        <f t="shared" si="14"/>
        <v>10.25</v>
      </c>
      <c r="G114" s="345" t="str">
        <f t="shared" si="14"/>
        <v>areia</v>
      </c>
    </row>
    <row r="115" spans="2:8">
      <c r="B115" s="345" t="str">
        <f>B60</f>
        <v>gerador 3</v>
      </c>
      <c r="C115" s="345">
        <f t="shared" ref="C115:G115" si="15">C60</f>
        <v>32.799999999999997</v>
      </c>
      <c r="D115" s="345">
        <v>0.4</v>
      </c>
      <c r="E115" s="345">
        <f t="shared" si="15"/>
        <v>0.5</v>
      </c>
      <c r="F115" s="345">
        <f t="shared" si="15"/>
        <v>8.1999999999999993</v>
      </c>
      <c r="G115" s="345" t="str">
        <f t="shared" si="15"/>
        <v>areia</v>
      </c>
    </row>
    <row r="116" spans="2:8">
      <c r="B116" s="281"/>
      <c r="C116" s="345">
        <f>SUBTOTAL(9,C83:C115)</f>
        <v>1651.4199999999998</v>
      </c>
      <c r="D116" s="345">
        <v>0.4</v>
      </c>
      <c r="E116" s="345">
        <v>0.5</v>
      </c>
      <c r="F116" s="345">
        <f>E116*D116*C116</f>
        <v>330.28399999999999</v>
      </c>
      <c r="G116" s="345" t="s">
        <v>450</v>
      </c>
      <c r="H116" t="s">
        <v>4</v>
      </c>
    </row>
    <row r="118" spans="2:8">
      <c r="B118" s="346" t="s">
        <v>437</v>
      </c>
      <c r="C118" s="346">
        <v>51</v>
      </c>
      <c r="D118" s="346">
        <v>0.4</v>
      </c>
      <c r="E118" s="346">
        <v>0.5</v>
      </c>
      <c r="F118" s="346">
        <v>12.75</v>
      </c>
      <c r="G118" s="346" t="s">
        <v>438</v>
      </c>
    </row>
    <row r="119" spans="2:8">
      <c r="B119" s="346" t="s">
        <v>440</v>
      </c>
      <c r="C119" s="346">
        <v>16</v>
      </c>
      <c r="D119" s="346">
        <v>0.4</v>
      </c>
      <c r="E119" s="346">
        <v>0.5</v>
      </c>
      <c r="F119" s="346">
        <v>4</v>
      </c>
      <c r="G119" s="346" t="s">
        <v>438</v>
      </c>
    </row>
    <row r="120" spans="2:8">
      <c r="B120" s="346" t="s">
        <v>441</v>
      </c>
      <c r="C120" s="346">
        <v>53.8</v>
      </c>
      <c r="D120" s="346">
        <v>0.4</v>
      </c>
      <c r="E120" s="346">
        <v>0.5</v>
      </c>
      <c r="F120" s="346">
        <v>13.45</v>
      </c>
      <c r="G120" s="346" t="s">
        <v>443</v>
      </c>
    </row>
    <row r="121" spans="2:8">
      <c r="B121" s="346" t="s">
        <v>442</v>
      </c>
      <c r="C121" s="346">
        <v>20</v>
      </c>
      <c r="D121" s="346">
        <v>0.4</v>
      </c>
      <c r="E121" s="346">
        <v>0.5</v>
      </c>
      <c r="F121" s="346">
        <v>5</v>
      </c>
      <c r="G121" s="346" t="s">
        <v>443</v>
      </c>
    </row>
    <row r="122" spans="2:8">
      <c r="B122" s="346" t="s">
        <v>445</v>
      </c>
      <c r="C122" s="346">
        <v>71</v>
      </c>
      <c r="D122" s="346">
        <v>0.4</v>
      </c>
      <c r="E122" s="346">
        <v>0.5</v>
      </c>
      <c r="F122" s="346">
        <v>17.75</v>
      </c>
      <c r="G122" s="346" t="s">
        <v>443</v>
      </c>
    </row>
    <row r="123" spans="2:8">
      <c r="B123" s="346" t="s">
        <v>447</v>
      </c>
      <c r="C123" s="346">
        <v>7</v>
      </c>
      <c r="D123" s="346">
        <v>0.4</v>
      </c>
      <c r="E123" s="346">
        <v>0.5</v>
      </c>
      <c r="F123" s="346">
        <v>1.75</v>
      </c>
      <c r="G123" s="346" t="s">
        <v>443</v>
      </c>
    </row>
    <row r="124" spans="2:8">
      <c r="B124" s="346" t="s">
        <v>448</v>
      </c>
      <c r="C124" s="346">
        <v>14</v>
      </c>
      <c r="D124" s="346">
        <v>0.4</v>
      </c>
      <c r="E124" s="346">
        <v>0.5</v>
      </c>
      <c r="F124" s="346">
        <v>3.5</v>
      </c>
      <c r="G124" s="346" t="s">
        <v>443</v>
      </c>
    </row>
    <row r="125" spans="2:8">
      <c r="C125" s="377">
        <v>40</v>
      </c>
      <c r="D125" s="346">
        <v>0.4</v>
      </c>
      <c r="E125" s="346">
        <v>0.5</v>
      </c>
      <c r="F125" s="346">
        <v>3.5</v>
      </c>
      <c r="G125" s="346" t="s">
        <v>443</v>
      </c>
    </row>
    <row r="126" spans="2:8">
      <c r="C126" s="346">
        <f>SUBTOTAL(9,C118:C125)</f>
        <v>272.8</v>
      </c>
      <c r="D126" s="346">
        <v>0.4</v>
      </c>
      <c r="E126" s="346">
        <v>0.4</v>
      </c>
      <c r="F126" s="346">
        <f>C126*D126*E126</f>
        <v>43.648000000000003</v>
      </c>
      <c r="G126" s="346" t="s">
        <v>450</v>
      </c>
    </row>
    <row r="127" spans="2:8">
      <c r="C127" s="346">
        <f>C126</f>
        <v>272.8</v>
      </c>
      <c r="D127" s="346">
        <v>0.4</v>
      </c>
      <c r="E127" s="346"/>
      <c r="F127" s="346">
        <f>D127*C127</f>
        <v>109.12</v>
      </c>
      <c r="G127" s="346" t="s">
        <v>454</v>
      </c>
      <c r="H127" t="s">
        <v>3</v>
      </c>
    </row>
    <row r="130" spans="2:8">
      <c r="B130" s="347" t="s">
        <v>329</v>
      </c>
      <c r="C130" s="347" t="s">
        <v>331</v>
      </c>
      <c r="D130" s="347" t="s">
        <v>332</v>
      </c>
      <c r="E130" s="347" t="s">
        <v>336</v>
      </c>
      <c r="F130" s="347" t="s">
        <v>335</v>
      </c>
      <c r="G130" s="347" t="s">
        <v>330</v>
      </c>
    </row>
    <row r="131" spans="2:8">
      <c r="B131" s="347" t="s">
        <v>435</v>
      </c>
      <c r="C131" s="347">
        <v>3</v>
      </c>
      <c r="D131" s="347">
        <v>0.4</v>
      </c>
      <c r="E131" s="347">
        <v>0.5</v>
      </c>
      <c r="F131" s="347">
        <v>0.75</v>
      </c>
      <c r="G131" s="347" t="s">
        <v>436</v>
      </c>
    </row>
    <row r="132" spans="2:8">
      <c r="B132" s="347" t="s">
        <v>439</v>
      </c>
      <c r="C132" s="347">
        <v>12</v>
      </c>
      <c r="D132" s="347">
        <v>0.4</v>
      </c>
      <c r="E132" s="347">
        <v>0.5</v>
      </c>
      <c r="F132" s="347">
        <v>3</v>
      </c>
      <c r="G132" s="347" t="s">
        <v>436</v>
      </c>
    </row>
    <row r="133" spans="2:8">
      <c r="B133" s="347" t="s">
        <v>445</v>
      </c>
      <c r="C133" s="347">
        <v>16</v>
      </c>
      <c r="D133" s="347">
        <v>0.4</v>
      </c>
      <c r="E133" s="347">
        <v>0.5</v>
      </c>
      <c r="F133" s="347">
        <v>4</v>
      </c>
      <c r="G133" s="347" t="s">
        <v>436</v>
      </c>
    </row>
    <row r="134" spans="2:8">
      <c r="B134" s="347" t="s">
        <v>447</v>
      </c>
      <c r="C134" s="347">
        <v>12</v>
      </c>
      <c r="D134" s="347">
        <v>0.4</v>
      </c>
      <c r="E134" s="347">
        <v>0.5</v>
      </c>
      <c r="F134" s="347">
        <v>3</v>
      </c>
      <c r="G134" s="347" t="s">
        <v>436</v>
      </c>
    </row>
    <row r="135" spans="2:8">
      <c r="B135" s="376" t="s">
        <v>469</v>
      </c>
      <c r="C135" s="347">
        <v>12</v>
      </c>
      <c r="D135" s="347">
        <v>0.4</v>
      </c>
      <c r="E135" s="347">
        <v>0.5</v>
      </c>
      <c r="F135" s="347">
        <v>3</v>
      </c>
      <c r="G135" s="347" t="s">
        <v>436</v>
      </c>
    </row>
    <row r="136" spans="2:8">
      <c r="C136" s="347">
        <f>SUBTOTAL(9,C131:C135)</f>
        <v>55</v>
      </c>
      <c r="D136" s="347">
        <v>0.4</v>
      </c>
      <c r="E136" s="347">
        <v>0.5</v>
      </c>
      <c r="F136" s="347">
        <f>E136*D136*C136</f>
        <v>11</v>
      </c>
      <c r="G136" s="347" t="s">
        <v>450</v>
      </c>
      <c r="H136" t="s">
        <v>549</v>
      </c>
    </row>
    <row r="137" spans="2:8">
      <c r="C137" s="347">
        <f>C136</f>
        <v>55</v>
      </c>
      <c r="D137" s="347">
        <v>0.4</v>
      </c>
      <c r="E137" s="347"/>
      <c r="F137" s="347">
        <f>D137*C137</f>
        <v>22</v>
      </c>
      <c r="G137" s="347" t="s">
        <v>455</v>
      </c>
      <c r="H137" t="s">
        <v>3</v>
      </c>
    </row>
    <row r="140" spans="2:8">
      <c r="B140" t="s">
        <v>457</v>
      </c>
      <c r="G140" t="s">
        <v>458</v>
      </c>
    </row>
    <row r="141" spans="2:8">
      <c r="B141" t="s">
        <v>450</v>
      </c>
      <c r="C141">
        <f>F136+F126+F116+F79</f>
        <v>525.97840000000008</v>
      </c>
      <c r="E141" t="s">
        <v>450</v>
      </c>
    </row>
    <row r="142" spans="2:8">
      <c r="B142" t="s">
        <v>455</v>
      </c>
      <c r="C142">
        <f>F137</f>
        <v>22</v>
      </c>
      <c r="E142" t="s">
        <v>455</v>
      </c>
    </row>
    <row r="143" spans="2:8">
      <c r="B143" t="s">
        <v>452</v>
      </c>
      <c r="C143">
        <f>F81</f>
        <v>154.95600000000002</v>
      </c>
      <c r="E143" t="s">
        <v>452</v>
      </c>
      <c r="G143">
        <f>C143*0.1</f>
        <v>15.495600000000003</v>
      </c>
    </row>
    <row r="144" spans="2:8">
      <c r="B144" t="s">
        <v>456</v>
      </c>
      <c r="C144">
        <f>F127</f>
        <v>109.12</v>
      </c>
      <c r="E144" t="s">
        <v>456</v>
      </c>
    </row>
    <row r="145" spans="2:5">
      <c r="B145" t="s">
        <v>451</v>
      </c>
      <c r="C145">
        <f>F80</f>
        <v>197.66</v>
      </c>
      <c r="E145" t="s">
        <v>451</v>
      </c>
    </row>
  </sheetData>
  <autoFilter ref="B2:G52" xr:uid="{00000000-0009-0000-0000-000003000000}"/>
  <mergeCells count="1">
    <mergeCell ref="J1:O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07"/>
  <sheetViews>
    <sheetView view="pageBreakPreview" topLeftCell="A4" zoomScale="96" zoomScaleNormal="100" zoomScaleSheetLayoutView="96" workbookViewId="0">
      <selection activeCell="I31" sqref="I31"/>
    </sheetView>
  </sheetViews>
  <sheetFormatPr defaultColWidth="11" defaultRowHeight="15" customHeight="1"/>
  <cols>
    <col min="1" max="1" width="11.125" style="11" customWidth="1"/>
    <col min="2" max="2" width="44.75" style="11" customWidth="1"/>
    <col min="3" max="3" width="5.75" style="11" customWidth="1"/>
    <col min="4" max="4" width="5.125" style="11" customWidth="1"/>
    <col min="5" max="5" width="8.875" style="11" customWidth="1"/>
    <col min="6" max="6" width="14.375" style="11" customWidth="1"/>
    <col min="7" max="7" width="14.5" style="11" customWidth="1"/>
    <col min="8" max="8" width="12.75" style="11" customWidth="1"/>
    <col min="9" max="9" width="17" style="11" customWidth="1"/>
    <col min="10" max="10" width="2.5" style="11" customWidth="1"/>
    <col min="11" max="11" width="2.625" style="11" customWidth="1"/>
    <col min="12" max="12" width="8" style="11" customWidth="1"/>
    <col min="13" max="13" width="43.75" style="11" customWidth="1"/>
    <col min="14" max="14" width="5.375" style="11" hidden="1" customWidth="1"/>
    <col min="15" max="15" width="6.25" style="11" customWidth="1"/>
    <col min="16" max="16" width="8" style="11" customWidth="1"/>
    <col min="17" max="17" width="10.375" style="11" customWidth="1"/>
    <col min="18" max="18" width="10.625" style="11" customWidth="1"/>
    <col min="19" max="19" width="8" style="11" customWidth="1"/>
    <col min="20" max="16384" width="11" style="11"/>
  </cols>
  <sheetData>
    <row r="1" spans="1:19" ht="15" customHeight="1">
      <c r="A1" s="27"/>
      <c r="B1" s="499" t="s">
        <v>81</v>
      </c>
      <c r="C1" s="496"/>
      <c r="D1" s="496"/>
      <c r="E1" s="496"/>
      <c r="F1" s="496"/>
      <c r="G1" s="496"/>
      <c r="H1" s="496"/>
      <c r="J1" s="27"/>
      <c r="K1" s="28"/>
      <c r="L1" s="29"/>
      <c r="M1" s="29"/>
      <c r="N1" s="30"/>
      <c r="O1" s="30"/>
      <c r="P1" s="30"/>
      <c r="Q1" s="30"/>
      <c r="R1" s="30"/>
      <c r="S1" s="30"/>
    </row>
    <row r="2" spans="1:19" ht="15" customHeight="1">
      <c r="A2" s="30"/>
      <c r="B2" s="500" t="s">
        <v>82</v>
      </c>
      <c r="C2" s="496"/>
      <c r="D2" s="496"/>
      <c r="E2" s="496"/>
      <c r="F2" s="496"/>
      <c r="G2" s="496"/>
      <c r="H2" s="496"/>
      <c r="J2" s="30"/>
      <c r="K2" s="28"/>
      <c r="L2" s="29"/>
      <c r="M2" s="29"/>
      <c r="N2" s="29"/>
      <c r="O2" s="29"/>
      <c r="P2" s="29"/>
      <c r="Q2" s="29"/>
      <c r="R2" s="29"/>
      <c r="S2" s="29"/>
    </row>
    <row r="3" spans="1:19" ht="15.75">
      <c r="A3" s="30"/>
      <c r="B3" s="500" t="s">
        <v>19</v>
      </c>
      <c r="C3" s="496"/>
      <c r="D3" s="496"/>
      <c r="E3" s="496"/>
      <c r="F3" s="496"/>
      <c r="G3" s="496"/>
      <c r="H3" s="496"/>
      <c r="J3" s="30"/>
      <c r="K3" s="28"/>
      <c r="L3" s="29"/>
      <c r="M3" s="29"/>
      <c r="N3" s="29"/>
      <c r="O3" s="29"/>
      <c r="P3" s="29"/>
      <c r="Q3" s="29"/>
      <c r="R3" s="29"/>
      <c r="S3" s="29"/>
    </row>
    <row r="4" spans="1:19" ht="30.75" customHeight="1">
      <c r="A4" s="29"/>
      <c r="B4" s="501" t="s">
        <v>83</v>
      </c>
      <c r="C4" s="502"/>
      <c r="D4" s="502"/>
      <c r="E4" s="502"/>
      <c r="F4" s="502"/>
      <c r="G4" s="502"/>
      <c r="H4" s="503"/>
      <c r="I4" s="13"/>
      <c r="J4" s="16"/>
      <c r="K4" s="28"/>
      <c r="L4" s="29"/>
      <c r="M4" s="29"/>
      <c r="N4" s="29"/>
      <c r="O4" s="29"/>
      <c r="P4" s="29"/>
      <c r="Q4" s="29"/>
      <c r="R4" s="29"/>
      <c r="S4" s="29"/>
    </row>
    <row r="5" spans="1:19" ht="15" customHeight="1">
      <c r="A5" s="425" t="s">
        <v>84</v>
      </c>
      <c r="B5" s="491" t="s">
        <v>328</v>
      </c>
      <c r="C5" s="491"/>
      <c r="D5" s="491"/>
      <c r="E5" s="491"/>
      <c r="F5" s="491"/>
      <c r="G5" s="491"/>
      <c r="H5" s="426" t="s">
        <v>20</v>
      </c>
      <c r="I5" s="424">
        <v>45075</v>
      </c>
      <c r="J5" s="29"/>
      <c r="K5" s="28"/>
      <c r="L5" s="29"/>
      <c r="M5" s="29"/>
      <c r="N5" s="29"/>
      <c r="O5" s="29"/>
      <c r="P5" s="29"/>
      <c r="Q5" s="29"/>
      <c r="R5" s="29"/>
      <c r="S5" s="29"/>
    </row>
    <row r="6" spans="1:19" ht="22.5" customHeight="1">
      <c r="A6" s="495" t="s">
        <v>122</v>
      </c>
      <c r="B6" s="496"/>
      <c r="C6" s="496"/>
      <c r="D6" s="496"/>
      <c r="E6" s="496"/>
      <c r="F6" s="496"/>
      <c r="G6" s="496"/>
      <c r="H6" s="497"/>
      <c r="I6" s="13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38.25" customHeight="1">
      <c r="A7" s="334" t="s">
        <v>21</v>
      </c>
      <c r="B7" s="335" t="s">
        <v>22</v>
      </c>
      <c r="C7" s="315" t="s">
        <v>123</v>
      </c>
      <c r="D7" s="315" t="s">
        <v>17</v>
      </c>
      <c r="E7" s="315" t="s">
        <v>124</v>
      </c>
      <c r="F7" s="315" t="s">
        <v>325</v>
      </c>
      <c r="G7" s="315" t="s">
        <v>326</v>
      </c>
      <c r="H7" s="315" t="s">
        <v>125</v>
      </c>
      <c r="I7" s="315" t="s">
        <v>125</v>
      </c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5.75" customHeight="1">
      <c r="A8" s="312">
        <v>2</v>
      </c>
      <c r="B8" s="490" t="s">
        <v>1</v>
      </c>
      <c r="C8" s="490"/>
      <c r="D8" s="490"/>
      <c r="E8" s="490"/>
      <c r="F8" s="490"/>
      <c r="G8" s="490"/>
      <c r="H8" s="490"/>
      <c r="I8" s="490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5" hidden="1" customHeight="1" thickBot="1">
      <c r="A9" s="329" t="s">
        <v>16</v>
      </c>
      <c r="B9" s="314" t="s">
        <v>126</v>
      </c>
      <c r="C9" s="313"/>
      <c r="D9" s="313"/>
      <c r="E9" s="330"/>
      <c r="F9" s="331"/>
      <c r="G9" s="331"/>
      <c r="H9" s="313" t="s">
        <v>127</v>
      </c>
      <c r="I9" s="313" t="s">
        <v>127</v>
      </c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5" hidden="1" customHeight="1">
      <c r="A10" s="316">
        <v>94295</v>
      </c>
      <c r="B10" s="317" t="s">
        <v>128</v>
      </c>
      <c r="C10" s="316" t="s">
        <v>129</v>
      </c>
      <c r="D10" s="316" t="s">
        <v>127</v>
      </c>
      <c r="E10" s="318">
        <v>1</v>
      </c>
      <c r="F10" s="332">
        <v>3704.8</v>
      </c>
      <c r="G10" s="332"/>
      <c r="H10" s="320">
        <f t="shared" ref="H10:I14" si="0">E10*F10</f>
        <v>3704.8</v>
      </c>
      <c r="I10" s="320">
        <f t="shared" si="0"/>
        <v>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5" hidden="1" customHeight="1">
      <c r="A11" s="316">
        <v>93563</v>
      </c>
      <c r="B11" s="317" t="s">
        <v>130</v>
      </c>
      <c r="C11" s="316" t="s">
        <v>129</v>
      </c>
      <c r="D11" s="316" t="s">
        <v>127</v>
      </c>
      <c r="E11" s="318">
        <v>1</v>
      </c>
      <c r="F11" s="332">
        <v>2217.59</v>
      </c>
      <c r="G11" s="332"/>
      <c r="H11" s="320">
        <f t="shared" si="0"/>
        <v>2217.59</v>
      </c>
      <c r="I11" s="320">
        <f t="shared" si="0"/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9.5" hidden="1" customHeight="1">
      <c r="A12" s="316">
        <v>88321</v>
      </c>
      <c r="B12" s="317" t="s">
        <v>131</v>
      </c>
      <c r="C12" s="316" t="s">
        <v>129</v>
      </c>
      <c r="D12" s="316" t="s">
        <v>67</v>
      </c>
      <c r="E12" s="318">
        <f>22*4</f>
        <v>88</v>
      </c>
      <c r="F12" s="320">
        <v>17.489999999999998</v>
      </c>
      <c r="G12" s="320"/>
      <c r="H12" s="320">
        <f t="shared" si="0"/>
        <v>1539.12</v>
      </c>
      <c r="I12" s="320">
        <f t="shared" si="0"/>
        <v>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5.75" hidden="1" customHeight="1">
      <c r="A13" s="316">
        <v>88255</v>
      </c>
      <c r="B13" s="317" t="s">
        <v>132</v>
      </c>
      <c r="C13" s="316" t="s">
        <v>129</v>
      </c>
      <c r="D13" s="316" t="s">
        <v>67</v>
      </c>
      <c r="E13" s="318">
        <f>22*4</f>
        <v>88</v>
      </c>
      <c r="F13" s="320">
        <v>26.55</v>
      </c>
      <c r="G13" s="320"/>
      <c r="H13" s="320">
        <f t="shared" si="0"/>
        <v>2336.4</v>
      </c>
      <c r="I13" s="320">
        <f t="shared" si="0"/>
        <v>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.75" hidden="1" customHeight="1" thickBot="1">
      <c r="A14" s="316">
        <v>90778</v>
      </c>
      <c r="B14" s="317" t="s">
        <v>133</v>
      </c>
      <c r="C14" s="316" t="s">
        <v>129</v>
      </c>
      <c r="D14" s="316" t="s">
        <v>67</v>
      </c>
      <c r="E14" s="318">
        <f>4*22</f>
        <v>88</v>
      </c>
      <c r="F14" s="320">
        <v>86.72</v>
      </c>
      <c r="G14" s="320"/>
      <c r="H14" s="320">
        <f t="shared" si="0"/>
        <v>7631.36</v>
      </c>
      <c r="I14" s="320">
        <f t="shared" si="0"/>
        <v>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5.75" hidden="1" customHeight="1" thickBot="1">
      <c r="A15" s="506" t="s">
        <v>134</v>
      </c>
      <c r="B15" s="507"/>
      <c r="C15" s="507"/>
      <c r="D15" s="507"/>
      <c r="E15" s="507"/>
      <c r="F15" s="507"/>
      <c r="G15" s="203"/>
      <c r="H15" s="328">
        <f>SUM(H10:H14)</f>
        <v>17429.27</v>
      </c>
      <c r="I15" s="328">
        <f>SUM(I10:I14)</f>
        <v>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.75" hidden="1" customHeight="1" thickBot="1">
      <c r="A16" s="506" t="s">
        <v>135</v>
      </c>
      <c r="B16" s="507"/>
      <c r="C16" s="507"/>
      <c r="D16" s="507"/>
      <c r="E16" s="507"/>
      <c r="F16" s="507"/>
      <c r="G16" s="203"/>
      <c r="H16" s="333">
        <f>H15*6</f>
        <v>104575.62</v>
      </c>
      <c r="I16" s="333">
        <f>I15*6</f>
        <v>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5.75" hidden="1" customHeight="1" thickBot="1">
      <c r="A17" s="203"/>
      <c r="B17" s="203"/>
      <c r="C17" s="203"/>
      <c r="D17" s="203"/>
      <c r="E17" s="203"/>
      <c r="F17" s="203"/>
      <c r="G17" s="203"/>
      <c r="H17" s="333"/>
      <c r="I17" s="333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" customHeight="1">
      <c r="A18" s="329" t="s">
        <v>16</v>
      </c>
      <c r="B18" s="314" t="s">
        <v>126</v>
      </c>
      <c r="C18" s="313"/>
      <c r="D18" s="313"/>
      <c r="E18" s="330"/>
      <c r="F18" s="331"/>
      <c r="G18" s="331"/>
      <c r="H18" s="313"/>
      <c r="I18" s="313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31.5">
      <c r="A19" s="316">
        <v>90778</v>
      </c>
      <c r="B19" s="317" t="s">
        <v>133</v>
      </c>
      <c r="C19" s="316" t="s">
        <v>129</v>
      </c>
      <c r="D19" s="316" t="s">
        <v>67</v>
      </c>
      <c r="E19" s="318">
        <v>6</v>
      </c>
      <c r="F19" s="320">
        <v>109.69</v>
      </c>
      <c r="G19" s="320">
        <v>127.2</v>
      </c>
      <c r="H19" s="320">
        <f>E19*F19</f>
        <v>658.14</v>
      </c>
      <c r="I19" s="320">
        <f t="shared" ref="I19:I21" si="1">E19*G19</f>
        <v>763.2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31.5">
      <c r="A20" s="316">
        <v>91677</v>
      </c>
      <c r="B20" s="342" t="s">
        <v>413</v>
      </c>
      <c r="C20" s="343" t="s">
        <v>129</v>
      </c>
      <c r="D20" s="343" t="s">
        <v>67</v>
      </c>
      <c r="E20" s="318">
        <v>12</v>
      </c>
      <c r="F20" s="320">
        <v>141.97999999999999</v>
      </c>
      <c r="G20" s="320">
        <v>164.74</v>
      </c>
      <c r="H20" s="320">
        <f>E20*F20</f>
        <v>1703.7599999999998</v>
      </c>
      <c r="I20" s="320">
        <f t="shared" si="1"/>
        <v>1976.88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5.75">
      <c r="A21" s="316">
        <v>40922</v>
      </c>
      <c r="B21" s="342" t="s">
        <v>498</v>
      </c>
      <c r="C21" s="343" t="s">
        <v>499</v>
      </c>
      <c r="D21" s="343" t="s">
        <v>500</v>
      </c>
      <c r="E21" s="318">
        <v>1</v>
      </c>
      <c r="F21" s="320">
        <v>3365.97</v>
      </c>
      <c r="G21" s="320">
        <v>3914.52</v>
      </c>
      <c r="H21" s="320">
        <f>E21*F21</f>
        <v>3365.97</v>
      </c>
      <c r="I21" s="320">
        <f t="shared" si="1"/>
        <v>3914.52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5.75" customHeight="1">
      <c r="A22" s="506" t="s">
        <v>134</v>
      </c>
      <c r="B22" s="506"/>
      <c r="C22" s="506"/>
      <c r="D22" s="506"/>
      <c r="E22" s="506"/>
      <c r="F22" s="506"/>
      <c r="G22" s="506"/>
      <c r="H22" s="328">
        <f>SUM(H19:H21)</f>
        <v>5727.869999999999</v>
      </c>
      <c r="I22" s="328">
        <f>SUM(I19:I21)</f>
        <v>6654.6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5.75" customHeight="1">
      <c r="A23" s="512" t="s">
        <v>548</v>
      </c>
      <c r="B23" s="512"/>
      <c r="C23" s="512"/>
      <c r="D23" s="512"/>
      <c r="E23" s="512"/>
      <c r="F23" s="512"/>
      <c r="G23" s="512"/>
      <c r="H23" s="333">
        <f>H22*7</f>
        <v>40095.089999999997</v>
      </c>
      <c r="I23" s="333">
        <f>I22*7</f>
        <v>46582.200000000004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5.75" customHeight="1">
      <c r="A24" s="40"/>
      <c r="B24" s="508"/>
      <c r="C24" s="496"/>
      <c r="D24" s="496"/>
      <c r="E24" s="496"/>
      <c r="F24" s="496"/>
      <c r="G24" s="496"/>
      <c r="H24" s="497"/>
      <c r="I24" s="13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5.75" customHeight="1">
      <c r="A25" s="329" t="s">
        <v>18</v>
      </c>
      <c r="B25" s="314" t="s">
        <v>23</v>
      </c>
      <c r="C25" s="313"/>
      <c r="D25" s="313"/>
      <c r="E25" s="428" t="s">
        <v>545</v>
      </c>
      <c r="F25" s="429" t="s">
        <v>546</v>
      </c>
      <c r="G25" s="427" t="s">
        <v>543</v>
      </c>
      <c r="I25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5.75" customHeight="1">
      <c r="A26" s="316" t="s">
        <v>136</v>
      </c>
      <c r="B26" s="317" t="s">
        <v>137</v>
      </c>
      <c r="C26" s="316" t="s">
        <v>138</v>
      </c>
      <c r="D26" s="316" t="s">
        <v>71</v>
      </c>
      <c r="E26" s="318">
        <v>2</v>
      </c>
      <c r="F26" s="320">
        <v>254.59</v>
      </c>
      <c r="G26" s="320">
        <f>E26*F26</f>
        <v>509.18</v>
      </c>
      <c r="I26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5.75" customHeight="1">
      <c r="A27" s="506" t="s">
        <v>139</v>
      </c>
      <c r="B27" s="507"/>
      <c r="C27" s="507"/>
      <c r="D27" s="507"/>
      <c r="E27" s="507"/>
      <c r="F27" s="507"/>
      <c r="G27" s="328">
        <f>SUM(G26:G26)</f>
        <v>509.18</v>
      </c>
      <c r="I27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5.75" customHeight="1">
      <c r="A28" s="509"/>
      <c r="B28" s="496"/>
      <c r="C28" s="496"/>
      <c r="D28" s="496"/>
      <c r="E28" s="496"/>
      <c r="F28" s="496"/>
      <c r="G28" s="496"/>
      <c r="H28" s="497"/>
      <c r="I28" s="13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5.75" customHeight="1">
      <c r="A29" s="417" t="s">
        <v>78</v>
      </c>
      <c r="B29" s="419" t="s">
        <v>530</v>
      </c>
      <c r="C29" s="313"/>
      <c r="D29" s="492" t="s">
        <v>547</v>
      </c>
      <c r="E29" s="493"/>
      <c r="F29" s="493"/>
      <c r="G29" s="493"/>
      <c r="H29" s="494"/>
      <c r="I29" s="427" t="s">
        <v>544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36" customHeight="1">
      <c r="A30" s="343" t="s">
        <v>522</v>
      </c>
      <c r="B30" s="342" t="s">
        <v>521</v>
      </c>
      <c r="C30" s="418" t="s">
        <v>71</v>
      </c>
      <c r="D30" s="498" t="s">
        <v>525</v>
      </c>
      <c r="E30" s="498"/>
      <c r="F30" s="498"/>
      <c r="G30" s="498"/>
      <c r="H30" s="498"/>
      <c r="I30" s="320">
        <f>8.3</f>
        <v>8.3000000000000007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33.75" customHeight="1">
      <c r="A31" s="343" t="s">
        <v>523</v>
      </c>
      <c r="B31" s="342" t="s">
        <v>527</v>
      </c>
      <c r="C31" s="418" t="s">
        <v>71</v>
      </c>
      <c r="D31" s="498" t="s">
        <v>526</v>
      </c>
      <c r="E31" s="518"/>
      <c r="F31" s="518"/>
      <c r="G31" s="518"/>
      <c r="H31" s="518"/>
      <c r="I31" s="320">
        <v>33.4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34.5" customHeight="1">
      <c r="A32" s="343" t="s">
        <v>524</v>
      </c>
      <c r="B32" s="342" t="s">
        <v>528</v>
      </c>
      <c r="C32" s="418" t="s">
        <v>71</v>
      </c>
      <c r="D32" s="498" t="s">
        <v>529</v>
      </c>
      <c r="E32" s="518"/>
      <c r="F32" s="518"/>
      <c r="G32" s="518"/>
      <c r="H32" s="518"/>
      <c r="I32" s="320">
        <v>13.7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5.75" customHeight="1">
      <c r="A33" s="514" t="s">
        <v>520</v>
      </c>
      <c r="B33" s="515"/>
      <c r="C33" s="515"/>
      <c r="D33" s="515"/>
      <c r="E33" s="515"/>
      <c r="F33" s="515"/>
      <c r="G33" s="515"/>
      <c r="H33" s="516"/>
      <c r="I33" s="328">
        <f>AVERAGE(I30:I32)</f>
        <v>18.466666666666669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5.75" customHeight="1">
      <c r="A34" s="416"/>
      <c r="H34" s="414"/>
      <c r="I34" s="13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5.75" customHeight="1">
      <c r="A35" s="416"/>
      <c r="H35" s="414"/>
      <c r="I35" s="13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5.75" customHeight="1">
      <c r="A36" s="416"/>
      <c r="H36" s="414"/>
      <c r="I36" s="13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5.75" customHeight="1">
      <c r="A37" s="416"/>
      <c r="H37" s="414"/>
      <c r="I37" s="13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5.75" customHeight="1">
      <c r="A38" s="509"/>
      <c r="B38" s="496"/>
      <c r="C38" s="496"/>
      <c r="D38" s="496"/>
      <c r="E38" s="496"/>
      <c r="F38" s="496"/>
      <c r="G38" s="496"/>
      <c r="H38" s="497"/>
      <c r="I38" s="13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5.75" customHeight="1">
      <c r="A39" s="312">
        <v>4</v>
      </c>
      <c r="B39" s="490" t="s">
        <v>140</v>
      </c>
      <c r="C39" s="490"/>
      <c r="D39" s="490"/>
      <c r="E39" s="490"/>
      <c r="F39" s="490"/>
      <c r="G39" s="490"/>
      <c r="H39" s="490"/>
      <c r="I39" s="490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49.5" customHeight="1">
      <c r="A40" s="313" t="s">
        <v>78</v>
      </c>
      <c r="B40" s="513" t="s">
        <v>141</v>
      </c>
      <c r="C40" s="513"/>
      <c r="D40" s="513"/>
      <c r="E40" s="513"/>
      <c r="F40" s="513"/>
      <c r="G40" s="513"/>
      <c r="H40" s="513"/>
      <c r="I40" s="513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23.25" customHeight="1">
      <c r="A41" s="334" t="s">
        <v>21</v>
      </c>
      <c r="B41" s="336" t="s">
        <v>22</v>
      </c>
      <c r="C41" s="315" t="s">
        <v>123</v>
      </c>
      <c r="D41" s="315" t="s">
        <v>17</v>
      </c>
      <c r="E41" s="315" t="s">
        <v>124</v>
      </c>
      <c r="F41" s="315" t="s">
        <v>325</v>
      </c>
      <c r="G41" s="315" t="s">
        <v>326</v>
      </c>
      <c r="H41" s="315" t="s">
        <v>125</v>
      </c>
      <c r="I41" s="315" t="s">
        <v>125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5.75" customHeight="1">
      <c r="A42" s="316">
        <v>88830</v>
      </c>
      <c r="B42" s="317" t="s">
        <v>142</v>
      </c>
      <c r="C42" s="316" t="s">
        <v>143</v>
      </c>
      <c r="D42" s="316" t="s">
        <v>144</v>
      </c>
      <c r="E42" s="318">
        <v>0.65</v>
      </c>
      <c r="F42" s="319">
        <v>1.81</v>
      </c>
      <c r="G42" s="319">
        <v>1.81</v>
      </c>
      <c r="H42" s="320">
        <f t="shared" ref="H42:H56" si="2">E42*F42</f>
        <v>1.1765000000000001</v>
      </c>
      <c r="I42" s="320">
        <f>E42*G42</f>
        <v>1.1765000000000001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5.75" customHeight="1">
      <c r="A43" s="316">
        <v>370</v>
      </c>
      <c r="B43" s="317" t="s">
        <v>145</v>
      </c>
      <c r="C43" s="316" t="s">
        <v>146</v>
      </c>
      <c r="D43" s="316" t="s">
        <v>4</v>
      </c>
      <c r="E43" s="318">
        <v>0.69389999999999996</v>
      </c>
      <c r="F43" s="319">
        <v>100</v>
      </c>
      <c r="G43" s="319">
        <v>100</v>
      </c>
      <c r="H43" s="320">
        <f t="shared" si="2"/>
        <v>69.39</v>
      </c>
      <c r="I43" s="320">
        <f t="shared" ref="I43:I56" si="3">E43*G43</f>
        <v>69.39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5.75" customHeight="1">
      <c r="A44" s="316">
        <v>345</v>
      </c>
      <c r="B44" s="317" t="s">
        <v>147</v>
      </c>
      <c r="C44" s="316" t="s">
        <v>146</v>
      </c>
      <c r="D44" s="316" t="s">
        <v>148</v>
      </c>
      <c r="E44" s="318">
        <v>2.5</v>
      </c>
      <c r="F44" s="319">
        <v>39.94</v>
      </c>
      <c r="G44" s="319">
        <v>39.94</v>
      </c>
      <c r="H44" s="320">
        <f t="shared" si="2"/>
        <v>99.85</v>
      </c>
      <c r="I44" s="320">
        <f t="shared" si="3"/>
        <v>99.85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5.75" customHeight="1">
      <c r="A45" s="316">
        <v>1347</v>
      </c>
      <c r="B45" s="317" t="s">
        <v>149</v>
      </c>
      <c r="C45" s="316" t="s">
        <v>146</v>
      </c>
      <c r="D45" s="316" t="s">
        <v>3</v>
      </c>
      <c r="E45" s="318">
        <v>1.1405000000000001</v>
      </c>
      <c r="F45" s="319">
        <v>74.72</v>
      </c>
      <c r="G45" s="319">
        <v>74.72</v>
      </c>
      <c r="H45" s="320">
        <f t="shared" si="2"/>
        <v>85.218159999999997</v>
      </c>
      <c r="I45" s="320">
        <f t="shared" si="3"/>
        <v>85.218159999999997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5.75" customHeight="1">
      <c r="A46" s="316">
        <v>1379</v>
      </c>
      <c r="B46" s="317" t="s">
        <v>150</v>
      </c>
      <c r="C46" s="316" t="s">
        <v>146</v>
      </c>
      <c r="D46" s="316" t="s">
        <v>148</v>
      </c>
      <c r="E46" s="321">
        <v>365</v>
      </c>
      <c r="F46" s="319">
        <v>0.7</v>
      </c>
      <c r="G46" s="319">
        <v>0.7</v>
      </c>
      <c r="H46" s="320">
        <f t="shared" si="2"/>
        <v>255.49999999999997</v>
      </c>
      <c r="I46" s="320">
        <f t="shared" si="3"/>
        <v>255.49999999999997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5.75" customHeight="1">
      <c r="A47" s="316">
        <v>2692</v>
      </c>
      <c r="B47" s="317" t="s">
        <v>151</v>
      </c>
      <c r="C47" s="316" t="s">
        <v>146</v>
      </c>
      <c r="D47" s="316" t="s">
        <v>152</v>
      </c>
      <c r="E47" s="318">
        <v>1.2</v>
      </c>
      <c r="F47" s="319">
        <v>6.91</v>
      </c>
      <c r="G47" s="319">
        <v>6.91</v>
      </c>
      <c r="H47" s="320">
        <f t="shared" si="2"/>
        <v>8.2919999999999998</v>
      </c>
      <c r="I47" s="320">
        <f t="shared" si="3"/>
        <v>8.2919999999999998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45.75" customHeight="1">
      <c r="A48" s="316">
        <v>34745</v>
      </c>
      <c r="B48" s="317" t="s">
        <v>308</v>
      </c>
      <c r="C48" s="316" t="s">
        <v>146</v>
      </c>
      <c r="D48" s="316" t="s">
        <v>3</v>
      </c>
      <c r="E48" s="318">
        <v>4.8</v>
      </c>
      <c r="F48" s="319">
        <v>173.08</v>
      </c>
      <c r="G48" s="319">
        <v>173.08</v>
      </c>
      <c r="H48" s="320">
        <f t="shared" si="2"/>
        <v>830.78399999999999</v>
      </c>
      <c r="I48" s="320">
        <f t="shared" si="3"/>
        <v>830.78399999999999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5.75" customHeight="1">
      <c r="A49" s="316">
        <v>4718</v>
      </c>
      <c r="B49" s="317" t="s">
        <v>153</v>
      </c>
      <c r="C49" s="316" t="s">
        <v>146</v>
      </c>
      <c r="D49" s="316" t="s">
        <v>4</v>
      </c>
      <c r="E49" s="318">
        <v>0.97799999999999998</v>
      </c>
      <c r="F49" s="319">
        <v>140</v>
      </c>
      <c r="G49" s="319">
        <v>140</v>
      </c>
      <c r="H49" s="320">
        <f t="shared" si="2"/>
        <v>136.91999999999999</v>
      </c>
      <c r="I49" s="320">
        <f t="shared" si="3"/>
        <v>136.91999999999999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5.75" customHeight="1">
      <c r="A50" s="316">
        <v>5068</v>
      </c>
      <c r="B50" s="317" t="s">
        <v>154</v>
      </c>
      <c r="C50" s="316" t="s">
        <v>146</v>
      </c>
      <c r="D50" s="316" t="s">
        <v>148</v>
      </c>
      <c r="E50" s="318">
        <v>2.52</v>
      </c>
      <c r="F50" s="319">
        <v>22.38</v>
      </c>
      <c r="G50" s="319">
        <v>22.38</v>
      </c>
      <c r="H50" s="320">
        <f t="shared" si="2"/>
        <v>56.397599999999997</v>
      </c>
      <c r="I50" s="320">
        <f t="shared" si="3"/>
        <v>56.397599999999997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5.75" customHeight="1">
      <c r="A51" s="322">
        <v>43058</v>
      </c>
      <c r="B51" s="317" t="s">
        <v>155</v>
      </c>
      <c r="C51" s="316" t="s">
        <v>146</v>
      </c>
      <c r="D51" s="323" t="s">
        <v>148</v>
      </c>
      <c r="E51" s="324">
        <v>70</v>
      </c>
      <c r="F51" s="319">
        <v>10.99</v>
      </c>
      <c r="G51" s="319">
        <v>10.99</v>
      </c>
      <c r="H51" s="320">
        <f t="shared" si="2"/>
        <v>769.30000000000007</v>
      </c>
      <c r="I51" s="320">
        <f t="shared" si="3"/>
        <v>769.30000000000007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5.75" customHeight="1">
      <c r="A52" s="322">
        <v>43061</v>
      </c>
      <c r="B52" s="317" t="s">
        <v>156</v>
      </c>
      <c r="C52" s="316" t="s">
        <v>146</v>
      </c>
      <c r="D52" s="323" t="s">
        <v>148</v>
      </c>
      <c r="E52" s="324">
        <v>15</v>
      </c>
      <c r="F52" s="319">
        <v>10.95</v>
      </c>
      <c r="G52" s="319">
        <v>10.95</v>
      </c>
      <c r="H52" s="320">
        <f t="shared" si="2"/>
        <v>164.25</v>
      </c>
      <c r="I52" s="320">
        <f t="shared" si="3"/>
        <v>164.25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5.75" customHeight="1">
      <c r="A53" s="322">
        <v>88245</v>
      </c>
      <c r="B53" s="325" t="s">
        <v>157</v>
      </c>
      <c r="C53" s="316" t="s">
        <v>129</v>
      </c>
      <c r="D53" s="316" t="s">
        <v>67</v>
      </c>
      <c r="E53" s="324">
        <v>5</v>
      </c>
      <c r="F53" s="319">
        <v>22.44</v>
      </c>
      <c r="G53" s="319">
        <v>25.06</v>
      </c>
      <c r="H53" s="320">
        <f t="shared" si="2"/>
        <v>112.2</v>
      </c>
      <c r="I53" s="320">
        <f t="shared" si="3"/>
        <v>125.3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5.75" customHeight="1">
      <c r="A54" s="322">
        <v>88239</v>
      </c>
      <c r="B54" s="317" t="s">
        <v>158</v>
      </c>
      <c r="C54" s="316" t="s">
        <v>129</v>
      </c>
      <c r="D54" s="316" t="s">
        <v>67</v>
      </c>
      <c r="E54" s="324">
        <v>4</v>
      </c>
      <c r="F54" s="319">
        <v>16.88</v>
      </c>
      <c r="G54" s="319">
        <v>18.63</v>
      </c>
      <c r="H54" s="320">
        <f t="shared" si="2"/>
        <v>67.52</v>
      </c>
      <c r="I54" s="320">
        <f t="shared" si="3"/>
        <v>74.52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5.75" customHeight="1">
      <c r="A55" s="322">
        <v>88309</v>
      </c>
      <c r="B55" s="326" t="s">
        <v>159</v>
      </c>
      <c r="C55" s="316" t="s">
        <v>129</v>
      </c>
      <c r="D55" s="316" t="s">
        <v>67</v>
      </c>
      <c r="E55" s="327">
        <v>4.6399999999999997</v>
      </c>
      <c r="F55" s="319">
        <v>21.15</v>
      </c>
      <c r="G55" s="319">
        <v>23.55</v>
      </c>
      <c r="H55" s="320">
        <f t="shared" si="2"/>
        <v>98.135999999999981</v>
      </c>
      <c r="I55" s="320">
        <f t="shared" si="3"/>
        <v>109.27199999999999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5.75" customHeight="1">
      <c r="A56" s="322">
        <v>88316</v>
      </c>
      <c r="B56" s="326" t="s">
        <v>160</v>
      </c>
      <c r="C56" s="316" t="s">
        <v>129</v>
      </c>
      <c r="D56" s="316" t="s">
        <v>67</v>
      </c>
      <c r="E56" s="327">
        <v>10</v>
      </c>
      <c r="F56" s="319">
        <v>17.649999999999999</v>
      </c>
      <c r="G56" s="319">
        <v>19.510000000000002</v>
      </c>
      <c r="H56" s="320">
        <f t="shared" si="2"/>
        <v>176.5</v>
      </c>
      <c r="I56" s="320">
        <f t="shared" si="3"/>
        <v>195.10000000000002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5.75" customHeight="1">
      <c r="A57" s="506" t="s">
        <v>161</v>
      </c>
      <c r="B57" s="507"/>
      <c r="C57" s="507"/>
      <c r="D57" s="507"/>
      <c r="E57" s="507"/>
      <c r="F57" s="507"/>
      <c r="G57" s="203"/>
      <c r="H57" s="328">
        <f>SUM(H42:H56)</f>
        <v>2931.43426</v>
      </c>
      <c r="I57" s="328">
        <f>SUM(I42:I56)</f>
        <v>2981.2702600000002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5.75" customHeight="1" thickBot="1">
      <c r="A58" s="509"/>
      <c r="B58" s="496"/>
      <c r="C58" s="496"/>
      <c r="D58" s="496"/>
      <c r="E58" s="496"/>
      <c r="F58" s="496"/>
      <c r="G58" s="496"/>
      <c r="H58" s="497"/>
      <c r="I58" s="13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5.75" customHeight="1" thickBot="1">
      <c r="A59" s="32">
        <v>5</v>
      </c>
      <c r="B59" s="510" t="s">
        <v>101</v>
      </c>
      <c r="C59" s="505"/>
      <c r="D59" s="505"/>
      <c r="E59" s="505"/>
      <c r="F59" s="505"/>
      <c r="G59" s="505"/>
      <c r="H59" s="511"/>
      <c r="I59" s="13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5.75" hidden="1" customHeight="1" thickBot="1">
      <c r="A60" s="41" t="s">
        <v>79</v>
      </c>
      <c r="B60" s="504" t="s">
        <v>162</v>
      </c>
      <c r="C60" s="505"/>
      <c r="D60" s="505"/>
      <c r="E60" s="505"/>
      <c r="F60" s="505"/>
      <c r="G60" s="285"/>
      <c r="H60" s="41" t="s">
        <v>4</v>
      </c>
      <c r="I60" s="41" t="s">
        <v>323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5.75" hidden="1" customHeight="1">
      <c r="A61" s="47">
        <f>A44</f>
        <v>345</v>
      </c>
      <c r="B61" s="48" t="str">
        <f>B44</f>
        <v>ARAME GALVANIZADO 18 BWG, D = 1,24MM (0,009 KG/M)</v>
      </c>
      <c r="C61" s="49" t="str">
        <f>C44</f>
        <v>mat</v>
      </c>
      <c r="D61" s="50" t="str">
        <f>D44</f>
        <v>kg</v>
      </c>
      <c r="E61" s="51">
        <v>2.5</v>
      </c>
      <c r="F61" s="52">
        <f>F44</f>
        <v>39.94</v>
      </c>
      <c r="G61" s="301"/>
      <c r="H61" s="53">
        <f t="shared" ref="H61:I75" si="4">E61*F61</f>
        <v>99.85</v>
      </c>
      <c r="I61" s="53">
        <f t="shared" si="4"/>
        <v>0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5.75" hidden="1" customHeight="1">
      <c r="A62" s="47">
        <f t="shared" ref="A62:D63" si="5">A51</f>
        <v>43058</v>
      </c>
      <c r="B62" s="48" t="str">
        <f t="shared" si="5"/>
        <v>ACO CA-50, 10,0 MM, OU 12,5 MM, OU 16,0 MM, OU 20,0 MM, DOBRADO E CORTADO</v>
      </c>
      <c r="C62" s="49" t="str">
        <f t="shared" si="5"/>
        <v>mat</v>
      </c>
      <c r="D62" s="50" t="str">
        <f t="shared" si="5"/>
        <v>kg</v>
      </c>
      <c r="E62" s="51">
        <v>80</v>
      </c>
      <c r="F62" s="52">
        <f>F51</f>
        <v>10.99</v>
      </c>
      <c r="G62" s="301"/>
      <c r="H62" s="53">
        <f t="shared" si="4"/>
        <v>879.2</v>
      </c>
      <c r="I62" s="53">
        <f t="shared" si="4"/>
        <v>0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5.75" hidden="1" customHeight="1">
      <c r="A63" s="47">
        <f t="shared" si="5"/>
        <v>43061</v>
      </c>
      <c r="B63" s="48" t="str">
        <f t="shared" si="5"/>
        <v>ACO CA-60, 4,2 MM OU 5,0 MM, DOBRADO E CORTADO</v>
      </c>
      <c r="C63" s="49" t="str">
        <f t="shared" si="5"/>
        <v>mat</v>
      </c>
      <c r="D63" s="50" t="str">
        <f t="shared" si="5"/>
        <v>kg</v>
      </c>
      <c r="E63" s="51">
        <v>25</v>
      </c>
      <c r="F63" s="52">
        <f>F52</f>
        <v>10.95</v>
      </c>
      <c r="G63" s="301"/>
      <c r="H63" s="53">
        <f t="shared" si="4"/>
        <v>273.75</v>
      </c>
      <c r="I63" s="53">
        <f t="shared" si="4"/>
        <v>0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5.75" hidden="1" customHeight="1">
      <c r="A64" s="47">
        <f t="shared" ref="A64:D65" si="6">A47</f>
        <v>2692</v>
      </c>
      <c r="B64" s="48" t="str">
        <f t="shared" si="6"/>
        <v>DESMOLDANTE PROTETOR PARA FORMAS DE MADEIRA</v>
      </c>
      <c r="C64" s="49" t="str">
        <f t="shared" si="6"/>
        <v>mat</v>
      </c>
      <c r="D64" s="50" t="str">
        <f t="shared" si="6"/>
        <v>l</v>
      </c>
      <c r="E64" s="51">
        <v>1.2</v>
      </c>
      <c r="F64" s="52">
        <f>F47</f>
        <v>6.91</v>
      </c>
      <c r="G64" s="301"/>
      <c r="H64" s="53">
        <f t="shared" si="4"/>
        <v>8.2919999999999998</v>
      </c>
      <c r="I64" s="53">
        <f t="shared" si="4"/>
        <v>0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5.75" hidden="1" customHeight="1">
      <c r="A65" s="47">
        <f t="shared" si="6"/>
        <v>34745</v>
      </c>
      <c r="B65" s="48" t="str">
        <f t="shared" si="6"/>
        <v>CHAPA DE MADEIRA COMPENSADA NAVAL (COM COLA FENOLICA), E = 25 MM, DE *1,60 X 2,20* M</v>
      </c>
      <c r="C65" s="49" t="str">
        <f t="shared" si="6"/>
        <v>mat</v>
      </c>
      <c r="D65" s="50" t="str">
        <f t="shared" si="6"/>
        <v>m²</v>
      </c>
      <c r="E65" s="51">
        <v>4.8</v>
      </c>
      <c r="F65" s="52">
        <f>F48</f>
        <v>173.08</v>
      </c>
      <c r="G65" s="301"/>
      <c r="H65" s="53">
        <f t="shared" si="4"/>
        <v>830.78399999999999</v>
      </c>
      <c r="I65" s="53">
        <f t="shared" si="4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5.75" hidden="1" customHeight="1">
      <c r="A66" s="43">
        <v>1345</v>
      </c>
      <c r="B66" s="35" t="s">
        <v>163</v>
      </c>
      <c r="C66" s="36" t="s">
        <v>164</v>
      </c>
      <c r="D66" s="36" t="s">
        <v>3</v>
      </c>
      <c r="E66" s="44">
        <v>2.76</v>
      </c>
      <c r="F66" s="42">
        <v>47.59</v>
      </c>
      <c r="G66" s="300"/>
      <c r="H66" s="45">
        <f t="shared" si="4"/>
        <v>131.3484</v>
      </c>
      <c r="I66" s="45">
        <f t="shared" si="4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8" hidden="1" customHeight="1">
      <c r="A67" s="43">
        <v>5061</v>
      </c>
      <c r="B67" s="35" t="s">
        <v>165</v>
      </c>
      <c r="C67" s="36" t="s">
        <v>164</v>
      </c>
      <c r="D67" s="36" t="s">
        <v>148</v>
      </c>
      <c r="E67" s="44">
        <v>2.52</v>
      </c>
      <c r="F67" s="42">
        <v>12</v>
      </c>
      <c r="G67" s="300"/>
      <c r="H67" s="45">
        <f t="shared" si="4"/>
        <v>30.240000000000002</v>
      </c>
      <c r="I67" s="45">
        <f t="shared" si="4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5.75" hidden="1" customHeight="1">
      <c r="A68" s="43">
        <v>10749</v>
      </c>
      <c r="B68" s="35" t="s">
        <v>166</v>
      </c>
      <c r="C68" s="36" t="s">
        <v>164</v>
      </c>
      <c r="D68" s="36" t="s">
        <v>167</v>
      </c>
      <c r="E68" s="44">
        <v>43.73</v>
      </c>
      <c r="F68" s="42">
        <v>1.69</v>
      </c>
      <c r="G68" s="300"/>
      <c r="H68" s="45">
        <f t="shared" si="4"/>
        <v>73.903699999999986</v>
      </c>
      <c r="I68" s="45">
        <f t="shared" si="4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5.75" hidden="1" customHeight="1">
      <c r="A69" s="43">
        <v>92720</v>
      </c>
      <c r="B69" s="35" t="s">
        <v>168</v>
      </c>
      <c r="C69" s="36" t="s">
        <v>169</v>
      </c>
      <c r="D69" s="36" t="s">
        <v>4</v>
      </c>
      <c r="E69" s="44">
        <v>1</v>
      </c>
      <c r="F69" s="42">
        <v>415.28</v>
      </c>
      <c r="G69" s="300"/>
      <c r="H69" s="45">
        <f t="shared" si="4"/>
        <v>415.28</v>
      </c>
      <c r="I69" s="45">
        <f t="shared" si="4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5.75" hidden="1" customHeight="1">
      <c r="A70" s="47">
        <v>88245</v>
      </c>
      <c r="B70" s="48" t="s">
        <v>157</v>
      </c>
      <c r="C70" s="49" t="s">
        <v>129</v>
      </c>
      <c r="D70" s="50" t="s">
        <v>67</v>
      </c>
      <c r="E70" s="51">
        <v>7</v>
      </c>
      <c r="F70" s="52">
        <f>F53</f>
        <v>22.44</v>
      </c>
      <c r="G70" s="301"/>
      <c r="H70" s="53">
        <f t="shared" si="4"/>
        <v>157.08000000000001</v>
      </c>
      <c r="I70" s="53">
        <f t="shared" si="4"/>
        <v>0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5.75" hidden="1" customHeight="1">
      <c r="A71" s="47">
        <v>88239</v>
      </c>
      <c r="B71" s="48" t="s">
        <v>158</v>
      </c>
      <c r="C71" s="49" t="s">
        <v>129</v>
      </c>
      <c r="D71" s="50" t="s">
        <v>67</v>
      </c>
      <c r="E71" s="51">
        <v>17.55</v>
      </c>
      <c r="F71" s="52">
        <f>F54</f>
        <v>16.88</v>
      </c>
      <c r="G71" s="301"/>
      <c r="H71" s="53">
        <f t="shared" si="4"/>
        <v>296.24399999999997</v>
      </c>
      <c r="I71" s="53">
        <f t="shared" si="4"/>
        <v>0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5.75" hidden="1" customHeight="1">
      <c r="A72" s="47">
        <v>88309</v>
      </c>
      <c r="B72" s="48" t="s">
        <v>159</v>
      </c>
      <c r="C72" s="49" t="s">
        <v>129</v>
      </c>
      <c r="D72" s="50" t="s">
        <v>67</v>
      </c>
      <c r="E72" s="51">
        <v>4.6399999999999997</v>
      </c>
      <c r="F72" s="52">
        <f>F55</f>
        <v>21.15</v>
      </c>
      <c r="G72" s="301"/>
      <c r="H72" s="53">
        <f t="shared" si="4"/>
        <v>98.135999999999981</v>
      </c>
      <c r="I72" s="53">
        <f t="shared" si="4"/>
        <v>0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5.75" hidden="1" customHeight="1">
      <c r="A73" s="47">
        <v>88316</v>
      </c>
      <c r="B73" s="48" t="s">
        <v>160</v>
      </c>
      <c r="C73" s="49" t="s">
        <v>129</v>
      </c>
      <c r="D73" s="50" t="s">
        <v>67</v>
      </c>
      <c r="E73" s="51">
        <v>7.72</v>
      </c>
      <c r="F73" s="52">
        <f>F56</f>
        <v>17.649999999999999</v>
      </c>
      <c r="G73" s="301"/>
      <c r="H73" s="53">
        <f t="shared" si="4"/>
        <v>136.25799999999998</v>
      </c>
      <c r="I73" s="53">
        <f t="shared" si="4"/>
        <v>0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5.75" hidden="1" customHeight="1">
      <c r="A74" s="43">
        <v>88238</v>
      </c>
      <c r="B74" s="35" t="s">
        <v>170</v>
      </c>
      <c r="C74" s="36" t="s">
        <v>129</v>
      </c>
      <c r="D74" s="36" t="s">
        <v>67</v>
      </c>
      <c r="E74" s="44">
        <v>7</v>
      </c>
      <c r="F74" s="42">
        <v>12.43</v>
      </c>
      <c r="G74" s="300"/>
      <c r="H74" s="45">
        <f t="shared" si="4"/>
        <v>87.009999999999991</v>
      </c>
      <c r="I74" s="45">
        <f t="shared" si="4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5.75" hidden="1" customHeight="1" thickBot="1">
      <c r="A75" s="43">
        <v>88262</v>
      </c>
      <c r="B75" s="35" t="s">
        <v>171</v>
      </c>
      <c r="C75" s="36" t="s">
        <v>129</v>
      </c>
      <c r="D75" s="36" t="s">
        <v>67</v>
      </c>
      <c r="E75" s="44">
        <v>17.55</v>
      </c>
      <c r="F75" s="42">
        <v>15.9</v>
      </c>
      <c r="G75" s="300"/>
      <c r="H75" s="45">
        <f t="shared" si="4"/>
        <v>279.04500000000002</v>
      </c>
      <c r="I75" s="45">
        <f t="shared" si="4"/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5.75" hidden="1" customHeight="1" thickBot="1">
      <c r="A76" s="517" t="s">
        <v>139</v>
      </c>
      <c r="B76" s="505"/>
      <c r="C76" s="505"/>
      <c r="D76" s="505"/>
      <c r="E76" s="505"/>
      <c r="F76" s="511"/>
      <c r="G76" s="287"/>
      <c r="H76" s="39">
        <f>SUM(H61:H75)</f>
        <v>3796.4210999999996</v>
      </c>
      <c r="I76" s="39">
        <f>SUM(I61:I75)</f>
        <v>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5.75" hidden="1" customHeight="1" thickBot="1">
      <c r="A77" s="509"/>
      <c r="B77" s="496"/>
      <c r="C77" s="496"/>
      <c r="D77" s="496"/>
      <c r="E77" s="496"/>
      <c r="F77" s="496"/>
      <c r="G77" s="496"/>
      <c r="H77" s="497"/>
      <c r="I77" s="13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51.75" customHeight="1" thickBot="1">
      <c r="A78" s="41" t="s">
        <v>102</v>
      </c>
      <c r="B78" s="504" t="s">
        <v>103</v>
      </c>
      <c r="C78" s="505"/>
      <c r="D78" s="505"/>
      <c r="E78" s="505"/>
      <c r="F78" s="505"/>
      <c r="G78" s="285"/>
      <c r="H78" s="41" t="s">
        <v>3</v>
      </c>
      <c r="I78" s="41" t="s">
        <v>324</v>
      </c>
      <c r="J78" s="31"/>
      <c r="K78" s="31"/>
      <c r="L78" s="55"/>
      <c r="M78" s="519"/>
      <c r="N78" s="496"/>
      <c r="O78" s="496"/>
      <c r="P78" s="496"/>
      <c r="Q78" s="496"/>
      <c r="R78" s="55"/>
      <c r="S78" s="31"/>
    </row>
    <row r="79" spans="1:19" ht="66.75" customHeight="1">
      <c r="A79" s="56">
        <v>3742</v>
      </c>
      <c r="B79" s="57" t="s">
        <v>172</v>
      </c>
      <c r="C79" s="34" t="s">
        <v>164</v>
      </c>
      <c r="D79" s="34" t="s">
        <v>3</v>
      </c>
      <c r="E79" s="58">
        <v>1</v>
      </c>
      <c r="F79" s="59">
        <v>51.41</v>
      </c>
      <c r="G79" s="302"/>
      <c r="H79" s="60">
        <f t="shared" ref="H79:I84" si="7">E79*F79</f>
        <v>51.41</v>
      </c>
      <c r="I79" s="60">
        <f t="shared" si="7"/>
        <v>0</v>
      </c>
      <c r="J79" s="31"/>
      <c r="K79" s="31"/>
      <c r="L79" s="61"/>
      <c r="M79" s="29"/>
      <c r="N79" s="61"/>
      <c r="O79" s="61"/>
      <c r="P79" s="62"/>
      <c r="Q79" s="63"/>
      <c r="R79" s="63"/>
      <c r="S79" s="31"/>
    </row>
    <row r="80" spans="1:19" ht="53.25" customHeight="1">
      <c r="A80" s="43">
        <v>94971</v>
      </c>
      <c r="B80" s="46" t="s">
        <v>173</v>
      </c>
      <c r="C80" s="36" t="s">
        <v>174</v>
      </c>
      <c r="D80" s="36" t="s">
        <v>4</v>
      </c>
      <c r="E80" s="44">
        <v>9.8000000000000004E-2</v>
      </c>
      <c r="F80" s="42">
        <v>306.25</v>
      </c>
      <c r="G80" s="300"/>
      <c r="H80" s="45">
        <f t="shared" si="7"/>
        <v>30.012500000000003</v>
      </c>
      <c r="I80" s="45">
        <f t="shared" si="7"/>
        <v>0</v>
      </c>
      <c r="J80" s="31"/>
      <c r="K80" s="31"/>
      <c r="L80" s="61"/>
      <c r="M80" s="29"/>
      <c r="N80" s="61"/>
      <c r="O80" s="61"/>
      <c r="P80" s="61"/>
      <c r="Q80" s="63"/>
      <c r="R80" s="63"/>
      <c r="S80" s="31"/>
    </row>
    <row r="81" spans="1:19" ht="78.75">
      <c r="A81" s="43">
        <v>92773</v>
      </c>
      <c r="B81" s="46" t="s">
        <v>175</v>
      </c>
      <c r="C81" s="36" t="s">
        <v>169</v>
      </c>
      <c r="D81" s="36" t="s">
        <v>148</v>
      </c>
      <c r="E81" s="44">
        <f>55*0.05</f>
        <v>2.75</v>
      </c>
      <c r="F81" s="42">
        <v>6.28</v>
      </c>
      <c r="G81" s="300"/>
      <c r="H81" s="45">
        <f t="shared" si="7"/>
        <v>17.27</v>
      </c>
      <c r="I81" s="45">
        <f t="shared" si="7"/>
        <v>0</v>
      </c>
      <c r="J81" s="31"/>
      <c r="K81" s="31"/>
      <c r="L81" s="61">
        <f>6.79*2</f>
        <v>13.58</v>
      </c>
      <c r="M81" s="29"/>
      <c r="N81" s="61"/>
      <c r="O81" s="61"/>
      <c r="P81" s="61"/>
      <c r="Q81" s="63"/>
      <c r="R81" s="63"/>
      <c r="S81" s="31"/>
    </row>
    <row r="82" spans="1:19" ht="78.75">
      <c r="A82" s="43">
        <v>92770</v>
      </c>
      <c r="B82" s="46" t="s">
        <v>176</v>
      </c>
      <c r="C82" s="36" t="s">
        <v>174</v>
      </c>
      <c r="D82" s="36" t="s">
        <v>148</v>
      </c>
      <c r="E82" s="44">
        <f>22*0.05</f>
        <v>1.1000000000000001</v>
      </c>
      <c r="F82" s="42">
        <v>8.5</v>
      </c>
      <c r="G82" s="300"/>
      <c r="H82" s="45">
        <f t="shared" si="7"/>
        <v>9.3500000000000014</v>
      </c>
      <c r="I82" s="45">
        <f t="shared" si="7"/>
        <v>0</v>
      </c>
      <c r="J82" s="31"/>
      <c r="K82" s="31"/>
      <c r="L82" s="61" t="e">
        <f>L81*#REF!</f>
        <v>#REF!</v>
      </c>
      <c r="M82" s="29"/>
      <c r="N82" s="61"/>
      <c r="O82" s="61"/>
      <c r="P82" s="61"/>
      <c r="Q82" s="63"/>
      <c r="R82" s="63"/>
      <c r="S82" s="31"/>
    </row>
    <row r="83" spans="1:19" ht="82.5" customHeight="1">
      <c r="A83" s="43">
        <v>92538</v>
      </c>
      <c r="B83" s="46" t="s">
        <v>177</v>
      </c>
      <c r="C83" s="36" t="s">
        <v>174</v>
      </c>
      <c r="D83" s="36" t="s">
        <v>3</v>
      </c>
      <c r="E83" s="44">
        <v>1</v>
      </c>
      <c r="F83" s="42">
        <v>13.15</v>
      </c>
      <c r="G83" s="300"/>
      <c r="H83" s="45">
        <f t="shared" si="7"/>
        <v>13.15</v>
      </c>
      <c r="I83" s="45">
        <f t="shared" si="7"/>
        <v>0</v>
      </c>
      <c r="J83" s="31"/>
      <c r="K83" s="31"/>
      <c r="L83" s="61"/>
      <c r="M83" s="29"/>
      <c r="N83" s="61"/>
      <c r="O83" s="61"/>
      <c r="P83" s="62"/>
      <c r="Q83" s="63"/>
      <c r="R83" s="63"/>
      <c r="S83" s="31"/>
    </row>
    <row r="84" spans="1:19" ht="33.75" customHeight="1" thickBot="1">
      <c r="A84" s="216">
        <f>A72</f>
        <v>88309</v>
      </c>
      <c r="B84" s="217" t="str">
        <f>B72</f>
        <v>PEDREIRO COM ENCARGOS COMPLEMENTARES</v>
      </c>
      <c r="C84" s="218" t="str">
        <f>C72</f>
        <v>m.o.</v>
      </c>
      <c r="D84" s="219" t="str">
        <f>D72</f>
        <v>h</v>
      </c>
      <c r="E84" s="220">
        <v>0.4</v>
      </c>
      <c r="F84" s="221">
        <f>F72</f>
        <v>21.15</v>
      </c>
      <c r="G84" s="303"/>
      <c r="H84" s="222">
        <f t="shared" si="7"/>
        <v>8.4599999999999991</v>
      </c>
      <c r="I84" s="222">
        <f t="shared" si="7"/>
        <v>0</v>
      </c>
      <c r="J84" s="31"/>
      <c r="K84" s="31"/>
      <c r="L84" s="67"/>
      <c r="M84" s="68"/>
      <c r="N84" s="67"/>
      <c r="O84" s="67"/>
      <c r="P84" s="69"/>
      <c r="Q84" s="70"/>
      <c r="R84" s="63"/>
      <c r="S84" s="31"/>
    </row>
    <row r="85" spans="1:19" ht="15.75" customHeight="1" thickBot="1">
      <c r="A85" s="517" t="s">
        <v>139</v>
      </c>
      <c r="B85" s="505"/>
      <c r="C85" s="505"/>
      <c r="D85" s="505"/>
      <c r="E85" s="505"/>
      <c r="F85" s="511"/>
      <c r="G85" s="287"/>
      <c r="H85" s="39">
        <f>SUM(H79:H84)</f>
        <v>129.6525</v>
      </c>
      <c r="I85" s="39">
        <f>SUM(I79:I84)</f>
        <v>0</v>
      </c>
      <c r="J85" s="31"/>
      <c r="K85" s="31"/>
      <c r="L85" s="520"/>
      <c r="M85" s="496"/>
      <c r="N85" s="496"/>
      <c r="O85" s="496"/>
      <c r="P85" s="496"/>
      <c r="Q85" s="496"/>
      <c r="R85" s="71"/>
      <c r="S85" s="31"/>
    </row>
    <row r="86" spans="1:19" ht="15.75" customHeight="1">
      <c r="A86" s="72"/>
      <c r="B86" s="72"/>
      <c r="C86" s="73"/>
      <c r="D86" s="72"/>
      <c r="E86" s="74"/>
      <c r="F86" s="72"/>
      <c r="G86" s="72"/>
      <c r="H86" s="72"/>
      <c r="I86" s="72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49.5" hidden="1" customHeight="1" thickBot="1">
      <c r="A87" s="41" t="s">
        <v>178</v>
      </c>
      <c r="B87" s="504" t="s">
        <v>179</v>
      </c>
      <c r="C87" s="505"/>
      <c r="D87" s="505"/>
      <c r="E87" s="505"/>
      <c r="F87" s="505"/>
      <c r="G87" s="285"/>
      <c r="H87" s="41" t="s">
        <v>3</v>
      </c>
      <c r="I87" s="41" t="s">
        <v>324</v>
      </c>
      <c r="J87" s="31"/>
      <c r="K87" s="31"/>
      <c r="L87" s="55"/>
      <c r="M87" s="519"/>
      <c r="N87" s="496"/>
      <c r="O87" s="496"/>
      <c r="P87" s="496"/>
      <c r="Q87" s="496"/>
      <c r="R87" s="55"/>
      <c r="S87" s="31"/>
    </row>
    <row r="88" spans="1:19" ht="15.75" hidden="1" customHeight="1">
      <c r="A88" s="75" t="s">
        <v>180</v>
      </c>
      <c r="B88" s="57" t="s">
        <v>181</v>
      </c>
      <c r="C88" s="34" t="s">
        <v>164</v>
      </c>
      <c r="D88" s="34" t="s">
        <v>3</v>
      </c>
      <c r="E88" s="58">
        <v>1</v>
      </c>
      <c r="F88" s="59">
        <v>73.05</v>
      </c>
      <c r="G88" s="302"/>
      <c r="H88" s="60">
        <f t="shared" ref="H88:I93" si="8">E88*F88</f>
        <v>73.05</v>
      </c>
      <c r="I88" s="60">
        <f t="shared" si="8"/>
        <v>0</v>
      </c>
      <c r="J88" s="31"/>
      <c r="K88" s="31"/>
      <c r="L88" s="61"/>
      <c r="M88" s="29"/>
      <c r="N88" s="61"/>
      <c r="O88" s="61"/>
      <c r="P88" s="62"/>
      <c r="Q88" s="63"/>
      <c r="R88" s="63"/>
      <c r="S88" s="31"/>
    </row>
    <row r="89" spans="1:19" ht="53.25" hidden="1" customHeight="1">
      <c r="A89" s="47">
        <f t="shared" ref="A89:F92" si="9">A80</f>
        <v>94971</v>
      </c>
      <c r="B89" s="48" t="str">
        <f t="shared" si="9"/>
        <v>CONCRETO FCK = 25 MPA, TRAÇO 1: 2,3: 2,7 (CIMENTO/ AREIA MÉDIA/ BRITA 1) - PREPARO MECÂNICO COM BETONEIRA 600 L.</v>
      </c>
      <c r="C89" s="49" t="str">
        <f t="shared" si="9"/>
        <v>serv</v>
      </c>
      <c r="D89" s="50" t="str">
        <f t="shared" si="9"/>
        <v>m³</v>
      </c>
      <c r="E89" s="51">
        <f t="shared" si="9"/>
        <v>9.8000000000000004E-2</v>
      </c>
      <c r="F89" s="52">
        <f t="shared" si="9"/>
        <v>306.25</v>
      </c>
      <c r="G89" s="301"/>
      <c r="H89" s="53">
        <f t="shared" si="8"/>
        <v>30.012500000000003</v>
      </c>
      <c r="I89" s="53">
        <f t="shared" si="8"/>
        <v>0</v>
      </c>
      <c r="J89" s="31"/>
      <c r="K89" s="31"/>
      <c r="L89" s="61"/>
      <c r="M89" s="29"/>
      <c r="N89" s="61"/>
      <c r="O89" s="61"/>
      <c r="P89" s="61"/>
      <c r="Q89" s="63"/>
      <c r="R89" s="63"/>
      <c r="S89" s="31"/>
    </row>
    <row r="90" spans="1:19" ht="15.75" hidden="1" customHeight="1">
      <c r="A90" s="47">
        <f t="shared" si="9"/>
        <v>92773</v>
      </c>
      <c r="B90" s="48" t="str">
        <f t="shared" si="9"/>
        <v>ARMAÇÃO DE LAJE DE UMA ESTRUTURA CONVENCIONAL DE CONCRETO ARMADO EM UM EDIFÍCIO DE MÚLTIPLOS PAVIMENTOS UTILIZANDO AÇO CA-50 DE 16,0 MM - MONTAGEM.</v>
      </c>
      <c r="C90" s="49" t="str">
        <f t="shared" si="9"/>
        <v>serv.</v>
      </c>
      <c r="D90" s="50" t="str">
        <f t="shared" si="9"/>
        <v>kg</v>
      </c>
      <c r="E90" s="51">
        <f t="shared" si="9"/>
        <v>2.75</v>
      </c>
      <c r="F90" s="52">
        <f t="shared" si="9"/>
        <v>6.28</v>
      </c>
      <c r="G90" s="301"/>
      <c r="H90" s="53">
        <f t="shared" si="8"/>
        <v>17.27</v>
      </c>
      <c r="I90" s="53">
        <f t="shared" si="8"/>
        <v>0</v>
      </c>
      <c r="J90" s="31"/>
      <c r="K90" s="31"/>
      <c r="L90" s="61"/>
      <c r="M90" s="29"/>
      <c r="N90" s="61"/>
      <c r="O90" s="61"/>
      <c r="P90" s="61"/>
      <c r="Q90" s="63"/>
      <c r="R90" s="63"/>
      <c r="S90" s="31"/>
    </row>
    <row r="91" spans="1:19" ht="15.75" hidden="1" customHeight="1">
      <c r="A91" s="47">
        <f t="shared" si="9"/>
        <v>92770</v>
      </c>
      <c r="B91" s="48" t="str">
        <f t="shared" si="9"/>
        <v>ARMAÇÃO DE LAJE DE UMA ESTRUTURA CONVENCIONAL DE CONCRETO ARMADO EM UM EDIFÍCIO DE MÚLTIPLOS PAVIMENTOS UTILIZANDO AÇO CA-50 DE 8,0 MM - MONTAGEM.</v>
      </c>
      <c r="C91" s="49" t="str">
        <f t="shared" si="9"/>
        <v>serv</v>
      </c>
      <c r="D91" s="50" t="str">
        <f t="shared" si="9"/>
        <v>kg</v>
      </c>
      <c r="E91" s="51">
        <f t="shared" si="9"/>
        <v>1.1000000000000001</v>
      </c>
      <c r="F91" s="52">
        <f t="shared" si="9"/>
        <v>8.5</v>
      </c>
      <c r="G91" s="301"/>
      <c r="H91" s="53">
        <f t="shared" si="8"/>
        <v>9.3500000000000014</v>
      </c>
      <c r="I91" s="53">
        <f t="shared" si="8"/>
        <v>0</v>
      </c>
      <c r="J91" s="31"/>
      <c r="K91" s="31"/>
      <c r="L91" s="61"/>
      <c r="M91" s="29"/>
      <c r="N91" s="61"/>
      <c r="O91" s="61"/>
      <c r="P91" s="61"/>
      <c r="Q91" s="63"/>
      <c r="R91" s="63"/>
      <c r="S91" s="31"/>
    </row>
    <row r="92" spans="1:19" ht="82.5" hidden="1" customHeight="1">
      <c r="A92" s="47">
        <f t="shared" si="9"/>
        <v>92538</v>
      </c>
      <c r="B92" s="48" t="str">
        <f t="shared" si="9"/>
        <v>MONTAGEM E DESMONTAGEM DE FÔRMA DE LAJE MACIÇA COM ÁREA MÉDIA MAIOR QUE 20 M², PÉ-DIREITO SIMPLES, EM CHAPA DE MADEIRA COMPENSADA PLASTIFICADA, 18 UTILIZAÇÕES.</v>
      </c>
      <c r="C92" s="49" t="str">
        <f t="shared" si="9"/>
        <v>serv</v>
      </c>
      <c r="D92" s="50" t="str">
        <f t="shared" si="9"/>
        <v>m²</v>
      </c>
      <c r="E92" s="51">
        <v>1</v>
      </c>
      <c r="F92" s="52">
        <f>F83</f>
        <v>13.15</v>
      </c>
      <c r="G92" s="301"/>
      <c r="H92" s="53">
        <f t="shared" si="8"/>
        <v>13.15</v>
      </c>
      <c r="I92" s="53">
        <f t="shared" si="8"/>
        <v>0</v>
      </c>
      <c r="J92" s="31"/>
      <c r="K92" s="31"/>
      <c r="L92" s="61"/>
      <c r="M92" s="29"/>
      <c r="N92" s="61"/>
      <c r="O92" s="61"/>
      <c r="P92" s="62"/>
      <c r="Q92" s="63"/>
      <c r="R92" s="63"/>
      <c r="S92" s="31"/>
    </row>
    <row r="93" spans="1:19" ht="33.75" hidden="1" customHeight="1" thickBot="1">
      <c r="A93" s="64">
        <f>A72</f>
        <v>88309</v>
      </c>
      <c r="B93" s="76" t="str">
        <f>B72</f>
        <v>PEDREIRO COM ENCARGOS COMPLEMENTARES</v>
      </c>
      <c r="C93" s="77" t="str">
        <f>C72</f>
        <v>m.o.</v>
      </c>
      <c r="D93" s="78" t="str">
        <f>D72</f>
        <v>h</v>
      </c>
      <c r="E93" s="79">
        <v>0.4</v>
      </c>
      <c r="F93" s="80">
        <f>F72</f>
        <v>21.15</v>
      </c>
      <c r="G93" s="304"/>
      <c r="H93" s="81">
        <f t="shared" si="8"/>
        <v>8.4599999999999991</v>
      </c>
      <c r="I93" s="81">
        <f t="shared" si="8"/>
        <v>0</v>
      </c>
      <c r="J93" s="31"/>
      <c r="K93" s="31"/>
      <c r="L93" s="67"/>
      <c r="M93" s="68"/>
      <c r="N93" s="67"/>
      <c r="O93" s="67"/>
      <c r="P93" s="69"/>
      <c r="Q93" s="70"/>
      <c r="R93" s="63"/>
      <c r="S93" s="31"/>
    </row>
    <row r="94" spans="1:19" ht="15.75" hidden="1" customHeight="1" thickBot="1">
      <c r="A94" s="517" t="s">
        <v>139</v>
      </c>
      <c r="B94" s="505"/>
      <c r="C94" s="505"/>
      <c r="D94" s="505"/>
      <c r="E94" s="505"/>
      <c r="F94" s="511"/>
      <c r="G94" s="287"/>
      <c r="H94" s="39">
        <f>SUM(H88:H93)</f>
        <v>151.29250000000002</v>
      </c>
      <c r="I94" s="39">
        <f>SUM(I88:I93)</f>
        <v>0</v>
      </c>
      <c r="J94" s="31"/>
      <c r="K94" s="31"/>
      <c r="L94" s="520"/>
      <c r="M94" s="496"/>
      <c r="N94" s="496"/>
      <c r="O94" s="496"/>
      <c r="P94" s="496"/>
      <c r="Q94" s="496"/>
      <c r="R94" s="71"/>
      <c r="S94" s="31"/>
    </row>
    <row r="95" spans="1:19" ht="15.75" hidden="1" customHeight="1" thickBot="1">
      <c r="A95" s="82"/>
      <c r="B95" s="82"/>
      <c r="C95" s="83"/>
      <c r="D95" s="82"/>
      <c r="E95" s="84"/>
      <c r="F95" s="82"/>
      <c r="G95" s="82"/>
      <c r="H95" s="82"/>
      <c r="I95" s="82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6.5" hidden="1" customHeight="1" thickBot="1">
      <c r="A96" s="85"/>
      <c r="B96" s="521" t="s">
        <v>5</v>
      </c>
      <c r="C96" s="522"/>
      <c r="D96" s="522"/>
      <c r="E96" s="522"/>
      <c r="F96" s="522"/>
      <c r="G96" s="522"/>
      <c r="H96" s="523"/>
      <c r="I96" s="13"/>
      <c r="J96" s="86"/>
      <c r="K96" s="86"/>
      <c r="L96" s="87"/>
      <c r="M96" s="87"/>
      <c r="N96" s="88"/>
      <c r="O96" s="87"/>
      <c r="P96" s="89"/>
      <c r="Q96" s="31"/>
      <c r="R96" s="31"/>
      <c r="S96" s="31"/>
    </row>
    <row r="97" spans="1:19" ht="51" hidden="1" customHeight="1" thickBot="1">
      <c r="A97" s="41" t="s">
        <v>182</v>
      </c>
      <c r="B97" s="504" t="s">
        <v>183</v>
      </c>
      <c r="C97" s="505"/>
      <c r="D97" s="505"/>
      <c r="E97" s="505"/>
      <c r="F97" s="505"/>
      <c r="G97" s="285"/>
      <c r="H97" s="90" t="s">
        <v>3</v>
      </c>
      <c r="I97" s="90" t="s">
        <v>324</v>
      </c>
      <c r="J97" s="91"/>
      <c r="K97" s="91"/>
      <c r="L97" s="87"/>
      <c r="M97" s="87"/>
      <c r="N97" s="88"/>
      <c r="O97" s="87"/>
      <c r="P97" s="89"/>
      <c r="Q97" s="31"/>
      <c r="R97" s="31"/>
      <c r="S97" s="31"/>
    </row>
    <row r="98" spans="1:19" ht="15.75" hidden="1" customHeight="1">
      <c r="A98" s="43" t="s">
        <v>184</v>
      </c>
      <c r="B98" s="46" t="s">
        <v>185</v>
      </c>
      <c r="C98" s="36" t="s">
        <v>146</v>
      </c>
      <c r="D98" s="36" t="s">
        <v>71</v>
      </c>
      <c r="E98" s="44">
        <v>4</v>
      </c>
      <c r="F98" s="42">
        <v>14.21</v>
      </c>
      <c r="G98" s="300"/>
      <c r="H98" s="45">
        <f t="shared" ref="H98:I109" si="10">E98*F98</f>
        <v>56.84</v>
      </c>
      <c r="I98" s="45">
        <f t="shared" si="10"/>
        <v>0</v>
      </c>
      <c r="J98" s="91"/>
      <c r="K98" s="91"/>
      <c r="L98" s="87"/>
      <c r="M98" s="87"/>
      <c r="N98" s="88"/>
      <c r="O98" s="87"/>
      <c r="P98" s="89"/>
      <c r="Q98" s="31"/>
      <c r="R98" s="31"/>
      <c r="S98" s="31"/>
    </row>
    <row r="99" spans="1:19" ht="15.75" hidden="1" customHeight="1">
      <c r="A99" s="43" t="s">
        <v>186</v>
      </c>
      <c r="B99" s="46" t="s">
        <v>187</v>
      </c>
      <c r="C99" s="36" t="s">
        <v>146</v>
      </c>
      <c r="D99" s="36" t="s">
        <v>8</v>
      </c>
      <c r="E99" s="44">
        <v>15.384615384615385</v>
      </c>
      <c r="F99" s="42">
        <v>7.27</v>
      </c>
      <c r="G99" s="300"/>
      <c r="H99" s="45">
        <f t="shared" si="10"/>
        <v>111.84615384615384</v>
      </c>
      <c r="I99" s="45">
        <f t="shared" si="10"/>
        <v>0</v>
      </c>
      <c r="J99" s="91"/>
      <c r="K99" s="91"/>
      <c r="L99" s="87"/>
      <c r="M99" s="87"/>
      <c r="N99" s="88"/>
      <c r="O99" s="87"/>
      <c r="P99" s="89"/>
      <c r="Q99" s="31"/>
      <c r="R99" s="31"/>
      <c r="S99" s="31"/>
    </row>
    <row r="100" spans="1:19" ht="15.75" hidden="1" customHeight="1">
      <c r="A100" s="43" t="s">
        <v>188</v>
      </c>
      <c r="B100" s="46" t="s">
        <v>189</v>
      </c>
      <c r="C100" s="36" t="s">
        <v>146</v>
      </c>
      <c r="D100" s="36" t="s">
        <v>8</v>
      </c>
      <c r="E100" s="44">
        <v>14.399999999999999</v>
      </c>
      <c r="F100" s="42">
        <v>2.54</v>
      </c>
      <c r="G100" s="300"/>
      <c r="H100" s="45">
        <f t="shared" si="10"/>
        <v>36.575999999999993</v>
      </c>
      <c r="I100" s="45">
        <f t="shared" si="10"/>
        <v>0</v>
      </c>
      <c r="J100" s="91"/>
      <c r="K100" s="91"/>
      <c r="L100" s="87"/>
      <c r="M100" s="87"/>
      <c r="N100" s="88"/>
      <c r="O100" s="87"/>
      <c r="P100" s="89"/>
      <c r="Q100" s="31"/>
      <c r="R100" s="31"/>
      <c r="S100" s="31"/>
    </row>
    <row r="101" spans="1:19" ht="15.75" hidden="1" customHeight="1">
      <c r="A101" s="43" t="s">
        <v>190</v>
      </c>
      <c r="B101" s="46" t="s">
        <v>191</v>
      </c>
      <c r="C101" s="36" t="s">
        <v>146</v>
      </c>
      <c r="D101" s="36" t="s">
        <v>8</v>
      </c>
      <c r="E101" s="44">
        <v>17.357142857142858</v>
      </c>
      <c r="F101" s="42">
        <v>11.15</v>
      </c>
      <c r="G101" s="300"/>
      <c r="H101" s="45">
        <f t="shared" si="10"/>
        <v>193.53214285714287</v>
      </c>
      <c r="I101" s="45">
        <f t="shared" si="10"/>
        <v>0</v>
      </c>
      <c r="J101" s="91"/>
      <c r="K101" s="91"/>
      <c r="L101" s="87"/>
      <c r="M101" s="87"/>
      <c r="N101" s="88"/>
      <c r="O101" s="87"/>
      <c r="P101" s="89"/>
      <c r="Q101" s="31"/>
      <c r="R101" s="31"/>
      <c r="S101" s="31"/>
    </row>
    <row r="102" spans="1:19" ht="15.75" hidden="1" customHeight="1">
      <c r="A102" s="43" t="s">
        <v>192</v>
      </c>
      <c r="B102" s="46" t="s">
        <v>193</v>
      </c>
      <c r="C102" s="36" t="s">
        <v>146</v>
      </c>
      <c r="D102" s="36" t="s">
        <v>8</v>
      </c>
      <c r="E102" s="44">
        <v>16.900000000000002</v>
      </c>
      <c r="F102" s="42">
        <v>15.18</v>
      </c>
      <c r="G102" s="300"/>
      <c r="H102" s="45">
        <f t="shared" si="10"/>
        <v>256.54200000000003</v>
      </c>
      <c r="I102" s="45">
        <f t="shared" si="10"/>
        <v>0</v>
      </c>
      <c r="J102" s="91"/>
      <c r="K102" s="91"/>
      <c r="L102" s="87"/>
      <c r="M102" s="87"/>
      <c r="N102" s="88"/>
      <c r="O102" s="87"/>
      <c r="P102" s="89"/>
      <c r="Q102" s="31"/>
      <c r="R102" s="31"/>
      <c r="S102" s="31"/>
    </row>
    <row r="103" spans="1:19" ht="15.75" hidden="1" customHeight="1">
      <c r="A103" s="43" t="s">
        <v>194</v>
      </c>
      <c r="B103" s="46" t="s">
        <v>195</v>
      </c>
      <c r="C103" s="36" t="s">
        <v>146</v>
      </c>
      <c r="D103" s="36" t="s">
        <v>8</v>
      </c>
      <c r="E103" s="44">
        <v>3</v>
      </c>
      <c r="F103" s="42">
        <v>6</v>
      </c>
      <c r="G103" s="300"/>
      <c r="H103" s="45">
        <f t="shared" si="10"/>
        <v>18</v>
      </c>
      <c r="I103" s="45">
        <f t="shared" si="10"/>
        <v>0</v>
      </c>
      <c r="J103" s="91"/>
      <c r="K103" s="91"/>
      <c r="L103" s="87"/>
      <c r="M103" s="87"/>
      <c r="N103" s="88"/>
      <c r="O103" s="87"/>
      <c r="P103" s="89"/>
      <c r="Q103" s="31"/>
      <c r="R103" s="31"/>
      <c r="S103" s="31"/>
    </row>
    <row r="104" spans="1:19" ht="51" hidden="1" customHeight="1">
      <c r="A104" s="43" t="s">
        <v>196</v>
      </c>
      <c r="B104" s="46" t="s">
        <v>197</v>
      </c>
      <c r="C104" s="36" t="s">
        <v>146</v>
      </c>
      <c r="D104" s="36" t="s">
        <v>71</v>
      </c>
      <c r="E104" s="44">
        <v>1</v>
      </c>
      <c r="F104" s="42">
        <v>17.2</v>
      </c>
      <c r="G104" s="300"/>
      <c r="H104" s="45">
        <f t="shared" si="10"/>
        <v>17.2</v>
      </c>
      <c r="I104" s="45">
        <f t="shared" si="10"/>
        <v>0</v>
      </c>
      <c r="J104" s="91"/>
      <c r="K104" s="91"/>
      <c r="L104" s="87"/>
      <c r="M104" s="87"/>
      <c r="N104" s="88"/>
      <c r="O104" s="87"/>
      <c r="P104" s="89"/>
      <c r="Q104" s="31"/>
      <c r="R104" s="31"/>
      <c r="S104" s="31"/>
    </row>
    <row r="105" spans="1:19" ht="15.75" hidden="1" customHeight="1">
      <c r="A105" s="43" t="s">
        <v>198</v>
      </c>
      <c r="B105" s="46" t="s">
        <v>199</v>
      </c>
      <c r="C105" s="36" t="s">
        <v>146</v>
      </c>
      <c r="D105" s="36" t="s">
        <v>148</v>
      </c>
      <c r="E105" s="44">
        <v>5.6333333333333329</v>
      </c>
      <c r="F105" s="42">
        <v>12.19</v>
      </c>
      <c r="G105" s="300"/>
      <c r="H105" s="45">
        <f t="shared" si="10"/>
        <v>68.670333333333318</v>
      </c>
      <c r="I105" s="45">
        <f t="shared" si="10"/>
        <v>0</v>
      </c>
      <c r="J105" s="91"/>
      <c r="K105" s="91"/>
      <c r="L105" s="87"/>
      <c r="M105" s="87"/>
      <c r="N105" s="88"/>
      <c r="O105" s="87"/>
      <c r="P105" s="89"/>
      <c r="Q105" s="31"/>
      <c r="R105" s="31"/>
      <c r="S105" s="31"/>
    </row>
    <row r="106" spans="1:19" ht="15.75" hidden="1" customHeight="1">
      <c r="A106" s="43" t="s">
        <v>200</v>
      </c>
      <c r="B106" s="46" t="s">
        <v>201</v>
      </c>
      <c r="C106" s="36" t="s">
        <v>146</v>
      </c>
      <c r="D106" s="36" t="s">
        <v>202</v>
      </c>
      <c r="E106" s="44">
        <v>1</v>
      </c>
      <c r="F106" s="42">
        <v>58.69</v>
      </c>
      <c r="G106" s="300"/>
      <c r="H106" s="45">
        <f t="shared" si="10"/>
        <v>58.69</v>
      </c>
      <c r="I106" s="45">
        <f t="shared" si="10"/>
        <v>0</v>
      </c>
      <c r="J106" s="91"/>
      <c r="K106" s="91"/>
      <c r="L106" s="87"/>
      <c r="M106" s="87"/>
      <c r="N106" s="88"/>
      <c r="O106" s="87"/>
      <c r="P106" s="89"/>
      <c r="Q106" s="31"/>
      <c r="R106" s="31"/>
      <c r="S106" s="31"/>
    </row>
    <row r="107" spans="1:19" ht="66.75" hidden="1" customHeight="1">
      <c r="A107" s="43" t="s">
        <v>203</v>
      </c>
      <c r="B107" s="46" t="s">
        <v>204</v>
      </c>
      <c r="C107" s="36" t="s">
        <v>174</v>
      </c>
      <c r="D107" s="36" t="s">
        <v>71</v>
      </c>
      <c r="E107" s="44">
        <v>1</v>
      </c>
      <c r="F107" s="42">
        <v>371.5</v>
      </c>
      <c r="G107" s="300"/>
      <c r="H107" s="45">
        <f t="shared" si="10"/>
        <v>371.5</v>
      </c>
      <c r="I107" s="45">
        <f t="shared" si="10"/>
        <v>0</v>
      </c>
      <c r="J107" s="91"/>
      <c r="K107" s="91"/>
      <c r="L107" s="87"/>
      <c r="M107" s="87"/>
      <c r="N107" s="88"/>
      <c r="O107" s="87"/>
      <c r="P107" s="89"/>
      <c r="Q107" s="31"/>
      <c r="R107" s="31"/>
      <c r="S107" s="31"/>
    </row>
    <row r="108" spans="1:19" ht="15.75" hidden="1" customHeight="1">
      <c r="A108" s="47">
        <f>A71</f>
        <v>88239</v>
      </c>
      <c r="B108" s="48" t="str">
        <f>B71</f>
        <v>AJUDANTE DE CARPINTEIRO COM ENCARGOS COMPLEMENTARES</v>
      </c>
      <c r="C108" s="49" t="str">
        <f>C71</f>
        <v>m.o.</v>
      </c>
      <c r="D108" s="50" t="str">
        <f>D71</f>
        <v>h</v>
      </c>
      <c r="E108" s="51">
        <v>8.48</v>
      </c>
      <c r="F108" s="52">
        <f>F71</f>
        <v>16.88</v>
      </c>
      <c r="G108" s="301"/>
      <c r="H108" s="53">
        <f t="shared" si="10"/>
        <v>143.14240000000001</v>
      </c>
      <c r="I108" s="53">
        <f t="shared" si="10"/>
        <v>0</v>
      </c>
      <c r="J108" s="91"/>
      <c r="K108" s="91"/>
      <c r="L108" s="87"/>
      <c r="M108" s="87"/>
      <c r="N108" s="88"/>
      <c r="O108" s="87"/>
      <c r="P108" s="89"/>
      <c r="Q108" s="31"/>
      <c r="R108" s="31"/>
      <c r="S108" s="31"/>
    </row>
    <row r="109" spans="1:19" ht="15.75" hidden="1" customHeight="1" thickBot="1">
      <c r="A109" s="64">
        <f>A75</f>
        <v>88262</v>
      </c>
      <c r="B109" s="76" t="str">
        <f>B75</f>
        <v>CARPINTEIRO DE FORMAS COM ENCARGOS COMPLEMENTARES</v>
      </c>
      <c r="C109" s="77" t="str">
        <f>C75</f>
        <v>m.o.</v>
      </c>
      <c r="D109" s="78" t="str">
        <f>D75</f>
        <v>h</v>
      </c>
      <c r="E109" s="79">
        <v>36.72</v>
      </c>
      <c r="F109" s="80">
        <f>F75</f>
        <v>15.9</v>
      </c>
      <c r="G109" s="304"/>
      <c r="H109" s="81">
        <f t="shared" si="10"/>
        <v>583.84799999999996</v>
      </c>
      <c r="I109" s="81">
        <f t="shared" si="10"/>
        <v>0</v>
      </c>
      <c r="J109" s="91"/>
      <c r="K109" s="91"/>
      <c r="L109" s="87"/>
      <c r="M109" s="87"/>
      <c r="N109" s="88"/>
      <c r="O109" s="87"/>
      <c r="P109" s="89"/>
      <c r="Q109" s="31"/>
      <c r="R109" s="31"/>
      <c r="S109" s="31"/>
    </row>
    <row r="110" spans="1:19" ht="15.75" hidden="1" customHeight="1" thickBot="1">
      <c r="A110" s="517" t="s">
        <v>205</v>
      </c>
      <c r="B110" s="505"/>
      <c r="C110" s="505"/>
      <c r="D110" s="505"/>
      <c r="E110" s="505"/>
      <c r="F110" s="511"/>
      <c r="G110" s="287"/>
      <c r="H110" s="92">
        <f>SUM(H98:H109)</f>
        <v>1916.38703003663</v>
      </c>
      <c r="I110" s="92">
        <f>SUM(I98:I109)</f>
        <v>0</v>
      </c>
      <c r="J110" s="93"/>
      <c r="K110" s="94"/>
      <c r="L110" s="31"/>
      <c r="M110" s="31"/>
      <c r="N110" s="31"/>
      <c r="O110" s="31"/>
      <c r="P110" s="31"/>
      <c r="Q110" s="31"/>
      <c r="R110" s="31"/>
      <c r="S110" s="31"/>
    </row>
    <row r="111" spans="1:19" ht="15.75" hidden="1" customHeight="1" thickBot="1">
      <c r="A111" s="95"/>
      <c r="B111" s="96"/>
      <c r="C111" s="97"/>
      <c r="D111" s="96"/>
      <c r="E111" s="98"/>
      <c r="F111" s="96"/>
      <c r="G111" s="96"/>
      <c r="H111" s="99"/>
      <c r="I111" s="99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15.75" hidden="1" customHeight="1" thickBot="1">
      <c r="A112" s="32">
        <v>10</v>
      </c>
      <c r="B112" s="510" t="s">
        <v>206</v>
      </c>
      <c r="C112" s="505"/>
      <c r="D112" s="505"/>
      <c r="E112" s="505"/>
      <c r="F112" s="505"/>
      <c r="G112" s="505"/>
      <c r="H112" s="511"/>
      <c r="I112" s="13"/>
      <c r="J112" s="86"/>
      <c r="K112" s="86"/>
      <c r="L112" s="31"/>
      <c r="M112" s="31"/>
      <c r="N112" s="31"/>
      <c r="O112" s="31"/>
      <c r="P112" s="31"/>
      <c r="Q112" s="31"/>
      <c r="R112" s="31"/>
      <c r="S112" s="31"/>
    </row>
    <row r="113" spans="1:19" ht="34.5" hidden="1" customHeight="1" thickBot="1">
      <c r="A113" s="41" t="s">
        <v>207</v>
      </c>
      <c r="B113" s="524" t="s">
        <v>208</v>
      </c>
      <c r="C113" s="505"/>
      <c r="D113" s="505"/>
      <c r="E113" s="505"/>
      <c r="F113" s="511"/>
      <c r="G113" s="287"/>
      <c r="H113" s="41" t="s">
        <v>71</v>
      </c>
      <c r="I113" s="41" t="s">
        <v>71</v>
      </c>
      <c r="J113" s="100"/>
      <c r="K113" s="87"/>
      <c r="L113" s="101"/>
      <c r="M113" s="102"/>
      <c r="N113" s="87"/>
      <c r="O113" s="103"/>
      <c r="P113" s="103"/>
      <c r="Q113" s="104"/>
      <c r="R113" s="31"/>
      <c r="S113" s="31"/>
    </row>
    <row r="114" spans="1:19" ht="15.75" hidden="1" customHeight="1">
      <c r="A114" s="43">
        <v>431</v>
      </c>
      <c r="B114" s="46" t="s">
        <v>209</v>
      </c>
      <c r="C114" s="36" t="s">
        <v>146</v>
      </c>
      <c r="D114" s="36" t="s">
        <v>71</v>
      </c>
      <c r="E114" s="44">
        <v>1</v>
      </c>
      <c r="F114" s="42">
        <v>7.42</v>
      </c>
      <c r="G114" s="300"/>
      <c r="H114" s="45">
        <f t="shared" ref="H114:I116" si="11">E114*F114</f>
        <v>7.42</v>
      </c>
      <c r="I114" s="45">
        <f t="shared" si="11"/>
        <v>0</v>
      </c>
      <c r="J114" s="100"/>
      <c r="K114" s="87"/>
      <c r="L114" s="101"/>
      <c r="M114" s="102"/>
      <c r="N114" s="87"/>
      <c r="O114" s="103"/>
      <c r="P114" s="103"/>
      <c r="Q114" s="104"/>
      <c r="R114" s="31"/>
      <c r="S114" s="31"/>
    </row>
    <row r="115" spans="1:19" ht="15.75" hidden="1" customHeight="1">
      <c r="A115" s="43">
        <v>88264</v>
      </c>
      <c r="B115" s="46" t="s">
        <v>210</v>
      </c>
      <c r="C115" s="36" t="s">
        <v>211</v>
      </c>
      <c r="D115" s="36" t="s">
        <v>67</v>
      </c>
      <c r="E115" s="44">
        <v>0.1</v>
      </c>
      <c r="F115" s="42">
        <v>18.59</v>
      </c>
      <c r="G115" s="300"/>
      <c r="H115" s="45">
        <f t="shared" si="11"/>
        <v>1.859</v>
      </c>
      <c r="I115" s="45">
        <f t="shared" si="11"/>
        <v>0</v>
      </c>
      <c r="J115" s="100"/>
      <c r="K115" s="87"/>
      <c r="L115" s="101"/>
      <c r="M115" s="102"/>
      <c r="N115" s="87"/>
      <c r="O115" s="103"/>
      <c r="P115" s="103"/>
      <c r="Q115" s="104"/>
      <c r="R115" s="31"/>
      <c r="S115" s="31"/>
    </row>
    <row r="116" spans="1:19" ht="15.75" hidden="1" customHeight="1" thickBot="1">
      <c r="A116" s="43">
        <v>88247</v>
      </c>
      <c r="B116" s="46" t="s">
        <v>212</v>
      </c>
      <c r="C116" s="36" t="s">
        <v>211</v>
      </c>
      <c r="D116" s="36" t="s">
        <v>67</v>
      </c>
      <c r="E116" s="44">
        <v>0.1</v>
      </c>
      <c r="F116" s="42">
        <v>14.37</v>
      </c>
      <c r="G116" s="300"/>
      <c r="H116" s="45">
        <f t="shared" si="11"/>
        <v>1.4370000000000001</v>
      </c>
      <c r="I116" s="45">
        <f t="shared" si="11"/>
        <v>0</v>
      </c>
      <c r="J116" s="100"/>
      <c r="K116" s="87"/>
      <c r="L116" s="101"/>
      <c r="M116" s="102"/>
      <c r="N116" s="87"/>
      <c r="O116" s="103"/>
      <c r="P116" s="103"/>
      <c r="Q116" s="104"/>
      <c r="R116" s="31"/>
      <c r="S116" s="31"/>
    </row>
    <row r="117" spans="1:19" ht="15.75" hidden="1" customHeight="1" thickBot="1">
      <c r="A117" s="517" t="s">
        <v>205</v>
      </c>
      <c r="B117" s="505"/>
      <c r="C117" s="505"/>
      <c r="D117" s="505"/>
      <c r="E117" s="505"/>
      <c r="F117" s="511"/>
      <c r="G117" s="287"/>
      <c r="H117" s="39">
        <f>SUM(H114:H116)</f>
        <v>10.715999999999999</v>
      </c>
      <c r="I117" s="39">
        <f>SUM(I114:I116)</f>
        <v>0</v>
      </c>
      <c r="J117" s="100"/>
      <c r="K117" s="87"/>
      <c r="L117" s="101"/>
      <c r="M117" s="102"/>
      <c r="N117" s="87"/>
      <c r="O117" s="103"/>
      <c r="P117" s="103"/>
      <c r="Q117" s="104"/>
      <c r="R117" s="31"/>
      <c r="S117" s="31"/>
    </row>
    <row r="118" spans="1:19" ht="15.75" hidden="1" customHeight="1" thickBot="1">
      <c r="A118" s="31"/>
      <c r="B118" s="31"/>
      <c r="C118" s="61"/>
      <c r="D118" s="31"/>
      <c r="E118" s="105"/>
      <c r="F118" s="100"/>
      <c r="G118" s="100"/>
      <c r="H118" s="100"/>
      <c r="I118" s="100"/>
      <c r="J118" s="100"/>
      <c r="K118" s="100"/>
      <c r="L118" s="31"/>
      <c r="M118" s="31"/>
      <c r="N118" s="31"/>
      <c r="O118" s="31"/>
      <c r="P118" s="31"/>
      <c r="Q118" s="31"/>
      <c r="R118" s="31"/>
      <c r="S118" s="31"/>
    </row>
    <row r="119" spans="1:19" ht="15" hidden="1" customHeight="1" thickBot="1">
      <c r="A119" s="33" t="s">
        <v>213</v>
      </c>
      <c r="B119" s="524" t="s">
        <v>214</v>
      </c>
      <c r="C119" s="505"/>
      <c r="D119" s="505"/>
      <c r="E119" s="505"/>
      <c r="F119" s="511"/>
      <c r="G119" s="287"/>
      <c r="H119" s="41" t="s">
        <v>71</v>
      </c>
      <c r="I119" s="41" t="s">
        <v>71</v>
      </c>
      <c r="J119" s="100"/>
      <c r="K119" s="87"/>
      <c r="L119" s="101"/>
      <c r="M119" s="102"/>
      <c r="N119" s="87"/>
      <c r="O119" s="103"/>
      <c r="P119" s="103"/>
      <c r="Q119" s="104"/>
      <c r="R119" s="31"/>
      <c r="S119" s="31"/>
    </row>
    <row r="120" spans="1:19" ht="15.75" hidden="1" customHeight="1">
      <c r="A120" s="43">
        <v>11790</v>
      </c>
      <c r="B120" s="46" t="s">
        <v>215</v>
      </c>
      <c r="C120" s="36" t="s">
        <v>146</v>
      </c>
      <c r="D120" s="36" t="s">
        <v>71</v>
      </c>
      <c r="E120" s="44">
        <v>1</v>
      </c>
      <c r="F120" s="42">
        <v>16.55</v>
      </c>
      <c r="G120" s="300"/>
      <c r="H120" s="45">
        <f t="shared" ref="H120:I122" si="12">E120*F120</f>
        <v>16.55</v>
      </c>
      <c r="I120" s="45">
        <f t="shared" si="12"/>
        <v>0</v>
      </c>
      <c r="J120" s="100"/>
      <c r="K120" s="87"/>
      <c r="L120" s="101"/>
      <c r="M120" s="102"/>
      <c r="N120" s="87"/>
      <c r="O120" s="103"/>
      <c r="P120" s="103"/>
      <c r="Q120" s="104"/>
      <c r="R120" s="31"/>
      <c r="S120" s="31"/>
    </row>
    <row r="121" spans="1:19" ht="15.75" hidden="1" customHeight="1">
      <c r="A121" s="47">
        <f t="shared" ref="A121:D122" si="13">A115</f>
        <v>88264</v>
      </c>
      <c r="B121" s="48" t="str">
        <f t="shared" si="13"/>
        <v>Eletricista com encargos complementares</v>
      </c>
      <c r="C121" s="49" t="str">
        <f t="shared" si="13"/>
        <v>mo</v>
      </c>
      <c r="D121" s="50" t="str">
        <f t="shared" si="13"/>
        <v>h</v>
      </c>
      <c r="E121" s="51">
        <v>0.1</v>
      </c>
      <c r="F121" s="52">
        <f>F115</f>
        <v>18.59</v>
      </c>
      <c r="G121" s="301"/>
      <c r="H121" s="53">
        <f t="shared" si="12"/>
        <v>1.859</v>
      </c>
      <c r="I121" s="53">
        <f t="shared" si="12"/>
        <v>0</v>
      </c>
      <c r="J121" s="100"/>
      <c r="K121" s="87"/>
      <c r="L121" s="101"/>
      <c r="M121" s="102"/>
      <c r="N121" s="87"/>
      <c r="O121" s="103"/>
      <c r="P121" s="103"/>
      <c r="Q121" s="104"/>
      <c r="R121" s="31"/>
      <c r="S121" s="31"/>
    </row>
    <row r="122" spans="1:19" ht="15.75" hidden="1" customHeight="1" thickBot="1">
      <c r="A122" s="106">
        <f t="shared" si="13"/>
        <v>88247</v>
      </c>
      <c r="B122" s="107" t="str">
        <f t="shared" si="13"/>
        <v>Auxiliar de eletricista com encargos complementares</v>
      </c>
      <c r="C122" s="108" t="str">
        <f t="shared" si="13"/>
        <v>mo</v>
      </c>
      <c r="D122" s="109" t="str">
        <f t="shared" si="13"/>
        <v>h</v>
      </c>
      <c r="E122" s="110">
        <v>0.1</v>
      </c>
      <c r="F122" s="111">
        <f>F116</f>
        <v>14.37</v>
      </c>
      <c r="G122" s="305"/>
      <c r="H122" s="112">
        <f t="shared" si="12"/>
        <v>1.4370000000000001</v>
      </c>
      <c r="I122" s="112">
        <f t="shared" si="12"/>
        <v>0</v>
      </c>
      <c r="J122" s="100"/>
      <c r="K122" s="87"/>
      <c r="L122" s="101"/>
      <c r="M122" s="102"/>
      <c r="N122" s="87"/>
      <c r="O122" s="103"/>
      <c r="P122" s="103"/>
      <c r="Q122" s="104"/>
      <c r="R122" s="31"/>
      <c r="S122" s="31"/>
    </row>
    <row r="123" spans="1:19" ht="15.75" hidden="1" customHeight="1" thickBot="1">
      <c r="A123" s="517" t="s">
        <v>205</v>
      </c>
      <c r="B123" s="505"/>
      <c r="C123" s="505"/>
      <c r="D123" s="505"/>
      <c r="E123" s="505"/>
      <c r="F123" s="511"/>
      <c r="G123" s="287"/>
      <c r="H123" s="39">
        <f>SUM(H120:H122)</f>
        <v>19.846</v>
      </c>
      <c r="I123" s="39">
        <f>SUM(I120:I122)</f>
        <v>0</v>
      </c>
      <c r="J123" s="100"/>
      <c r="K123" s="87"/>
      <c r="L123" s="101"/>
      <c r="M123" s="102"/>
      <c r="N123" s="87"/>
      <c r="O123" s="103"/>
      <c r="P123" s="103"/>
      <c r="Q123" s="104"/>
      <c r="R123" s="31"/>
      <c r="S123" s="31"/>
    </row>
    <row r="124" spans="1:19" ht="15.75" hidden="1" customHeight="1" thickBot="1">
      <c r="A124" s="31"/>
      <c r="B124" s="31"/>
      <c r="C124" s="61"/>
      <c r="D124" s="31"/>
      <c r="E124" s="105"/>
      <c r="F124" s="100"/>
      <c r="G124" s="100"/>
      <c r="H124" s="100"/>
      <c r="I124" s="100"/>
      <c r="J124" s="100"/>
      <c r="K124" s="100"/>
      <c r="L124" s="31"/>
      <c r="M124" s="31"/>
      <c r="N124" s="31"/>
      <c r="O124" s="31"/>
      <c r="P124" s="31"/>
      <c r="Q124" s="31"/>
      <c r="R124" s="31"/>
      <c r="S124" s="31"/>
    </row>
    <row r="125" spans="1:19" ht="15" hidden="1" customHeight="1" thickBot="1">
      <c r="A125" s="33" t="s">
        <v>216</v>
      </c>
      <c r="B125" s="524" t="s">
        <v>217</v>
      </c>
      <c r="C125" s="505"/>
      <c r="D125" s="505"/>
      <c r="E125" s="505"/>
      <c r="F125" s="511"/>
      <c r="G125" s="287"/>
      <c r="H125" s="41" t="s">
        <v>3</v>
      </c>
      <c r="I125" s="41" t="s">
        <v>324</v>
      </c>
      <c r="J125" s="100"/>
      <c r="K125" s="87"/>
      <c r="L125" s="101"/>
      <c r="M125" s="102"/>
      <c r="N125" s="87"/>
      <c r="O125" s="103"/>
      <c r="P125" s="103"/>
      <c r="Q125" s="104"/>
      <c r="R125" s="31"/>
      <c r="S125" s="31"/>
    </row>
    <row r="126" spans="1:19" ht="15.75" hidden="1" customHeight="1">
      <c r="A126" s="43" t="s">
        <v>218</v>
      </c>
      <c r="B126" s="46" t="s">
        <v>219</v>
      </c>
      <c r="C126" s="36" t="s">
        <v>146</v>
      </c>
      <c r="D126" s="36" t="s">
        <v>71</v>
      </c>
      <c r="E126" s="44">
        <v>1</v>
      </c>
      <c r="F126" s="42">
        <v>28.35</v>
      </c>
      <c r="G126" s="300"/>
      <c r="H126" s="45">
        <v>27.4</v>
      </c>
      <c r="I126" s="45">
        <v>28.4</v>
      </c>
      <c r="J126" s="100"/>
      <c r="K126" s="87"/>
      <c r="L126" s="101"/>
      <c r="M126" s="102"/>
      <c r="N126" s="87"/>
      <c r="O126" s="103"/>
      <c r="P126" s="103"/>
      <c r="Q126" s="104"/>
      <c r="R126" s="31"/>
      <c r="S126" s="31"/>
    </row>
    <row r="127" spans="1:19" ht="15.75" hidden="1" customHeight="1">
      <c r="A127" s="47">
        <f t="shared" ref="A127:D128" si="14">A121</f>
        <v>88264</v>
      </c>
      <c r="B127" s="48" t="str">
        <f t="shared" si="14"/>
        <v>Eletricista com encargos complementares</v>
      </c>
      <c r="C127" s="49" t="str">
        <f t="shared" si="14"/>
        <v>mo</v>
      </c>
      <c r="D127" s="50" t="str">
        <f t="shared" si="14"/>
        <v>h</v>
      </c>
      <c r="E127" s="51">
        <v>0.1</v>
      </c>
      <c r="F127" s="52">
        <f>F121</f>
        <v>18.59</v>
      </c>
      <c r="G127" s="301"/>
      <c r="H127" s="53">
        <f>E127*F127</f>
        <v>1.859</v>
      </c>
      <c r="I127" s="53">
        <f>F127*G127</f>
        <v>0</v>
      </c>
      <c r="J127" s="113"/>
      <c r="K127" s="114"/>
      <c r="L127" s="115"/>
      <c r="M127" s="116"/>
      <c r="N127" s="114"/>
      <c r="O127" s="117"/>
      <c r="P127" s="117"/>
      <c r="Q127" s="118"/>
      <c r="R127" s="119"/>
      <c r="S127" s="119"/>
    </row>
    <row r="128" spans="1:19" ht="15.75" hidden="1" customHeight="1" thickBot="1">
      <c r="A128" s="106">
        <f t="shared" si="14"/>
        <v>88247</v>
      </c>
      <c r="B128" s="107" t="str">
        <f t="shared" si="14"/>
        <v>Auxiliar de eletricista com encargos complementares</v>
      </c>
      <c r="C128" s="108" t="str">
        <f t="shared" si="14"/>
        <v>mo</v>
      </c>
      <c r="D128" s="109" t="str">
        <f t="shared" si="14"/>
        <v>h</v>
      </c>
      <c r="E128" s="110">
        <v>0.1</v>
      </c>
      <c r="F128" s="111">
        <f>F122</f>
        <v>14.37</v>
      </c>
      <c r="G128" s="305"/>
      <c r="H128" s="112">
        <f>E128*F128</f>
        <v>1.4370000000000001</v>
      </c>
      <c r="I128" s="112">
        <f>F128*G128</f>
        <v>0</v>
      </c>
      <c r="J128" s="113"/>
      <c r="K128" s="114"/>
      <c r="L128" s="115"/>
      <c r="M128" s="116"/>
      <c r="N128" s="114"/>
      <c r="O128" s="117"/>
      <c r="P128" s="117"/>
      <c r="Q128" s="118"/>
      <c r="R128" s="119"/>
      <c r="S128" s="119"/>
    </row>
    <row r="129" spans="1:19" ht="15.75" hidden="1" customHeight="1" thickBot="1">
      <c r="A129" s="517" t="s">
        <v>205</v>
      </c>
      <c r="B129" s="505"/>
      <c r="C129" s="505"/>
      <c r="D129" s="505"/>
      <c r="E129" s="505"/>
      <c r="F129" s="511"/>
      <c r="G129" s="287"/>
      <c r="H129" s="39">
        <f>SUM(H126:H128)</f>
        <v>30.696000000000002</v>
      </c>
      <c r="I129" s="39">
        <f>SUM(I126:I128)</f>
        <v>28.4</v>
      </c>
      <c r="J129" s="100"/>
      <c r="K129" s="87"/>
      <c r="L129" s="101"/>
      <c r="M129" s="102"/>
      <c r="N129" s="87"/>
      <c r="O129" s="103"/>
      <c r="P129" s="103"/>
      <c r="Q129" s="104"/>
      <c r="R129" s="31"/>
      <c r="S129" s="31"/>
    </row>
    <row r="130" spans="1:19" ht="15.75" hidden="1" customHeight="1" thickBot="1">
      <c r="A130" s="31"/>
      <c r="B130" s="31"/>
      <c r="C130" s="61"/>
      <c r="D130" s="31"/>
      <c r="E130" s="105"/>
      <c r="F130" s="100"/>
      <c r="G130" s="100"/>
      <c r="H130" s="100"/>
      <c r="I130" s="100"/>
      <c r="J130" s="100"/>
      <c r="K130" s="100"/>
      <c r="L130" s="31"/>
      <c r="M130" s="31"/>
      <c r="N130" s="31"/>
      <c r="O130" s="31"/>
      <c r="P130" s="31"/>
      <c r="Q130" s="31"/>
      <c r="R130" s="31"/>
      <c r="S130" s="31"/>
    </row>
    <row r="131" spans="1:19" ht="67.5" hidden="1" customHeight="1" thickBot="1">
      <c r="A131" s="41" t="s">
        <v>220</v>
      </c>
      <c r="B131" s="524" t="s">
        <v>221</v>
      </c>
      <c r="C131" s="505"/>
      <c r="D131" s="505"/>
      <c r="E131" s="505"/>
      <c r="F131" s="511"/>
      <c r="G131" s="287"/>
      <c r="H131" s="120" t="s">
        <v>71</v>
      </c>
      <c r="I131" s="120" t="s">
        <v>71</v>
      </c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1:19" ht="15.75" hidden="1" customHeight="1">
      <c r="A132" s="75" t="s">
        <v>222</v>
      </c>
      <c r="B132" s="57" t="s">
        <v>223</v>
      </c>
      <c r="C132" s="34" t="s">
        <v>146</v>
      </c>
      <c r="D132" s="34" t="s">
        <v>71</v>
      </c>
      <c r="E132" s="58">
        <v>1</v>
      </c>
      <c r="F132" s="122">
        <v>9412.91</v>
      </c>
      <c r="G132" s="306"/>
      <c r="H132" s="60">
        <f t="shared" ref="H132:I146" si="15">E132*F132</f>
        <v>9412.91</v>
      </c>
      <c r="I132" s="60">
        <f t="shared" si="15"/>
        <v>0</v>
      </c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1:19" ht="15.75" hidden="1" customHeight="1">
      <c r="A133" s="43" t="s">
        <v>224</v>
      </c>
      <c r="B133" s="46" t="s">
        <v>225</v>
      </c>
      <c r="C133" s="36" t="s">
        <v>146</v>
      </c>
      <c r="D133" s="36" t="s">
        <v>148</v>
      </c>
      <c r="E133" s="44">
        <f>4.272*(8.4+2.4)</f>
        <v>46.137600000000006</v>
      </c>
      <c r="F133" s="42">
        <v>78.7</v>
      </c>
      <c r="G133" s="300"/>
      <c r="H133" s="45">
        <f t="shared" si="15"/>
        <v>3631.0291200000006</v>
      </c>
      <c r="I133" s="45">
        <f t="shared" si="15"/>
        <v>0</v>
      </c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1:19" ht="15.75" hidden="1" customHeight="1">
      <c r="A134" s="43" t="s">
        <v>226</v>
      </c>
      <c r="B134" s="46" t="s">
        <v>227</v>
      </c>
      <c r="C134" s="36" t="s">
        <v>146</v>
      </c>
      <c r="D134" s="36" t="s">
        <v>148</v>
      </c>
      <c r="E134" s="44">
        <f>4.5*2*0.89</f>
        <v>8.01</v>
      </c>
      <c r="F134" s="42">
        <v>78.7</v>
      </c>
      <c r="G134" s="300"/>
      <c r="H134" s="45">
        <f t="shared" si="15"/>
        <v>630.38700000000006</v>
      </c>
      <c r="I134" s="45">
        <f t="shared" si="15"/>
        <v>0</v>
      </c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1:19" ht="15.75" hidden="1" customHeight="1">
      <c r="A135" s="43">
        <v>39739</v>
      </c>
      <c r="B135" s="46" t="s">
        <v>228</v>
      </c>
      <c r="C135" s="36" t="s">
        <v>146</v>
      </c>
      <c r="D135" s="36" t="s">
        <v>8</v>
      </c>
      <c r="E135" s="44">
        <v>11.23</v>
      </c>
      <c r="F135" s="42">
        <v>61.65</v>
      </c>
      <c r="G135" s="300"/>
      <c r="H135" s="45">
        <f t="shared" si="15"/>
        <v>692.32950000000005</v>
      </c>
      <c r="I135" s="45">
        <f t="shared" si="15"/>
        <v>0</v>
      </c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1:19" ht="15.75" hidden="1" customHeight="1">
      <c r="A136" s="123" t="s">
        <v>229</v>
      </c>
      <c r="B136" s="46" t="s">
        <v>230</v>
      </c>
      <c r="C136" s="36" t="s">
        <v>146</v>
      </c>
      <c r="D136" s="36" t="s">
        <v>71</v>
      </c>
      <c r="E136" s="44">
        <v>27</v>
      </c>
      <c r="F136" s="42">
        <v>4.5</v>
      </c>
      <c r="G136" s="300"/>
      <c r="H136" s="45">
        <f t="shared" si="15"/>
        <v>121.5</v>
      </c>
      <c r="I136" s="45">
        <f t="shared" si="15"/>
        <v>0</v>
      </c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1:19" ht="15.75" hidden="1" customHeight="1">
      <c r="A137" s="123" t="s">
        <v>231</v>
      </c>
      <c r="B137" s="46" t="s">
        <v>232</v>
      </c>
      <c r="C137" s="36" t="s">
        <v>146</v>
      </c>
      <c r="D137" s="36" t="s">
        <v>71</v>
      </c>
      <c r="E137" s="44">
        <v>27</v>
      </c>
      <c r="F137" s="42">
        <v>0.55000000000000004</v>
      </c>
      <c r="G137" s="300"/>
      <c r="H137" s="45">
        <f t="shared" si="15"/>
        <v>14.850000000000001</v>
      </c>
      <c r="I137" s="45">
        <f t="shared" si="15"/>
        <v>0</v>
      </c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1:19" ht="15.75" hidden="1" customHeight="1">
      <c r="A138" s="123" t="s">
        <v>233</v>
      </c>
      <c r="B138" s="46" t="s">
        <v>234</v>
      </c>
      <c r="C138" s="36" t="s">
        <v>146</v>
      </c>
      <c r="D138" s="36" t="s">
        <v>71</v>
      </c>
      <c r="E138" s="44">
        <v>27</v>
      </c>
      <c r="F138" s="42">
        <v>0.1</v>
      </c>
      <c r="G138" s="300"/>
      <c r="H138" s="45">
        <f t="shared" si="15"/>
        <v>2.7</v>
      </c>
      <c r="I138" s="45">
        <f t="shared" si="15"/>
        <v>0</v>
      </c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1:19" ht="15.75" hidden="1" customHeight="1">
      <c r="A139" s="123" t="s">
        <v>235</v>
      </c>
      <c r="B139" s="46" t="s">
        <v>236</v>
      </c>
      <c r="C139" s="36" t="s">
        <v>146</v>
      </c>
      <c r="D139" s="36" t="s">
        <v>71</v>
      </c>
      <c r="E139" s="44">
        <v>54</v>
      </c>
      <c r="F139" s="42">
        <v>0.06</v>
      </c>
      <c r="G139" s="300"/>
      <c r="H139" s="45">
        <f t="shared" si="15"/>
        <v>3.2399999999999998</v>
      </c>
      <c r="I139" s="45">
        <f t="shared" si="15"/>
        <v>0</v>
      </c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1:19" ht="15.75" hidden="1" customHeight="1">
      <c r="A140" s="123" t="s">
        <v>237</v>
      </c>
      <c r="B140" s="46" t="s">
        <v>238</v>
      </c>
      <c r="C140" s="36" t="s">
        <v>146</v>
      </c>
      <c r="D140" s="36" t="s">
        <v>71</v>
      </c>
      <c r="E140" s="44">
        <v>4</v>
      </c>
      <c r="F140" s="42">
        <v>135</v>
      </c>
      <c r="G140" s="300"/>
      <c r="H140" s="45">
        <f t="shared" si="15"/>
        <v>540</v>
      </c>
      <c r="I140" s="45">
        <f t="shared" si="15"/>
        <v>0</v>
      </c>
      <c r="J140" s="121"/>
      <c r="K140" s="121"/>
      <c r="L140" s="121" t="s">
        <v>239</v>
      </c>
      <c r="M140" s="121"/>
      <c r="N140" s="121"/>
      <c r="O140" s="121"/>
      <c r="P140" s="121"/>
      <c r="Q140" s="121"/>
      <c r="R140" s="121"/>
      <c r="S140" s="121"/>
    </row>
    <row r="141" spans="1:19" ht="15.75" hidden="1" customHeight="1">
      <c r="A141" s="123" t="s">
        <v>240</v>
      </c>
      <c r="B141" s="46" t="s">
        <v>241</v>
      </c>
      <c r="C141" s="36" t="s">
        <v>146</v>
      </c>
      <c r="D141" s="36" t="s">
        <v>71</v>
      </c>
      <c r="E141" s="44">
        <v>1</v>
      </c>
      <c r="F141" s="124">
        <v>1823.34</v>
      </c>
      <c r="G141" s="307"/>
      <c r="H141" s="45">
        <f t="shared" si="15"/>
        <v>1823.34</v>
      </c>
      <c r="I141" s="45">
        <f t="shared" si="15"/>
        <v>0</v>
      </c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1:19" ht="15.75" hidden="1" customHeight="1">
      <c r="A142" s="43" t="s">
        <v>242</v>
      </c>
      <c r="B142" s="46" t="s">
        <v>243</v>
      </c>
      <c r="C142" s="36" t="s">
        <v>146</v>
      </c>
      <c r="D142" s="36" t="s">
        <v>3</v>
      </c>
      <c r="E142" s="44">
        <v>0.96</v>
      </c>
      <c r="F142" s="42">
        <v>172.86</v>
      </c>
      <c r="G142" s="300"/>
      <c r="H142" s="45">
        <f t="shared" si="15"/>
        <v>165.94560000000001</v>
      </c>
      <c r="I142" s="45">
        <f t="shared" si="15"/>
        <v>0</v>
      </c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1:19" ht="15.75" hidden="1" customHeight="1">
      <c r="A143" s="47">
        <f>A127</f>
        <v>88264</v>
      </c>
      <c r="B143" s="48" t="str">
        <f>B127</f>
        <v>Eletricista com encargos complementares</v>
      </c>
      <c r="C143" s="49" t="s">
        <v>129</v>
      </c>
      <c r="D143" s="50" t="str">
        <f>D127</f>
        <v>h</v>
      </c>
      <c r="E143" s="51">
        <v>56</v>
      </c>
      <c r="F143" s="52">
        <f>F127</f>
        <v>18.59</v>
      </c>
      <c r="G143" s="301"/>
      <c r="H143" s="53">
        <f t="shared" si="15"/>
        <v>1041.04</v>
      </c>
      <c r="I143" s="53">
        <f t="shared" si="15"/>
        <v>0</v>
      </c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1:19" ht="15.75" hidden="1" customHeight="1">
      <c r="A144" s="47">
        <f>A128</f>
        <v>88247</v>
      </c>
      <c r="B144" s="48" t="str">
        <f>B128</f>
        <v>Auxiliar de eletricista com encargos complementares</v>
      </c>
      <c r="C144" s="125" t="s">
        <v>129</v>
      </c>
      <c r="D144" s="50" t="str">
        <f>D128</f>
        <v>h</v>
      </c>
      <c r="E144" s="51">
        <v>56</v>
      </c>
      <c r="F144" s="52">
        <f>F128</f>
        <v>14.37</v>
      </c>
      <c r="G144" s="301"/>
      <c r="H144" s="53">
        <f t="shared" si="15"/>
        <v>804.71999999999991</v>
      </c>
      <c r="I144" s="53">
        <f t="shared" si="15"/>
        <v>0</v>
      </c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1:19" ht="15.75" hidden="1" customHeight="1">
      <c r="A145" s="47">
        <f>A93</f>
        <v>88309</v>
      </c>
      <c r="B145" s="126" t="str">
        <f>B93</f>
        <v>PEDREIRO COM ENCARGOS COMPLEMENTARES</v>
      </c>
      <c r="C145" s="125" t="str">
        <f>C93</f>
        <v>m.o.</v>
      </c>
      <c r="D145" s="127" t="str">
        <f>D93</f>
        <v>h</v>
      </c>
      <c r="E145" s="51">
        <v>4</v>
      </c>
      <c r="F145" s="52">
        <f>F93</f>
        <v>21.15</v>
      </c>
      <c r="G145" s="301"/>
      <c r="H145" s="53">
        <f t="shared" si="15"/>
        <v>84.6</v>
      </c>
      <c r="I145" s="53">
        <f t="shared" si="15"/>
        <v>0</v>
      </c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1:19" ht="15.75" hidden="1" customHeight="1" thickBot="1">
      <c r="A146" s="106">
        <f>A73</f>
        <v>88316</v>
      </c>
      <c r="B146" s="128" t="str">
        <f>B73</f>
        <v>SERVENTE COM ENCARGOS COMPLEMENTARES</v>
      </c>
      <c r="C146" s="129" t="str">
        <f>C73</f>
        <v>m.o.</v>
      </c>
      <c r="D146" s="130" t="str">
        <f>D73</f>
        <v>h</v>
      </c>
      <c r="E146" s="110">
        <v>4</v>
      </c>
      <c r="F146" s="111">
        <f>F73</f>
        <v>17.649999999999999</v>
      </c>
      <c r="G146" s="305"/>
      <c r="H146" s="81">
        <f t="shared" si="15"/>
        <v>70.599999999999994</v>
      </c>
      <c r="I146" s="81">
        <f t="shared" si="15"/>
        <v>0</v>
      </c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1:19" ht="15.75" hidden="1" customHeight="1" thickBot="1">
      <c r="A147" s="517" t="s">
        <v>205</v>
      </c>
      <c r="B147" s="505"/>
      <c r="C147" s="505"/>
      <c r="D147" s="505"/>
      <c r="E147" s="505"/>
      <c r="F147" s="511"/>
      <c r="G147" s="13"/>
      <c r="H147" s="131">
        <f>SUM(H132:H146)</f>
        <v>19039.191220000001</v>
      </c>
      <c r="I147" s="131">
        <f>SUM(I132:I146)</f>
        <v>0</v>
      </c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1:19" ht="15.75" hidden="1" customHeight="1" thickBot="1">
      <c r="A148" s="121"/>
      <c r="B148" s="121"/>
      <c r="C148" s="61"/>
      <c r="D148" s="121"/>
      <c r="E148" s="132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1:19" ht="19.5" hidden="1" customHeight="1" thickBot="1">
      <c r="A149" s="133" t="s">
        <v>244</v>
      </c>
      <c r="B149" s="504" t="s">
        <v>245</v>
      </c>
      <c r="C149" s="505"/>
      <c r="D149" s="505"/>
      <c r="E149" s="505"/>
      <c r="F149" s="505"/>
      <c r="G149" s="285"/>
      <c r="H149" s="120" t="s">
        <v>8</v>
      </c>
      <c r="I149" s="120" t="s">
        <v>8</v>
      </c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1:19" ht="15.75" hidden="1" customHeight="1">
      <c r="A150" s="121"/>
      <c r="B150" s="121"/>
      <c r="C150" s="61"/>
      <c r="D150" s="121"/>
      <c r="E150" s="132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1:19" ht="15.75" hidden="1" customHeight="1">
      <c r="A151" s="121"/>
      <c r="B151" s="121"/>
      <c r="C151" s="61"/>
      <c r="D151" s="121"/>
      <c r="E151" s="132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1:19" ht="15.75" hidden="1" customHeight="1">
      <c r="A152" s="121"/>
      <c r="B152" s="121"/>
      <c r="C152" s="61"/>
      <c r="D152" s="121"/>
      <c r="E152" s="132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</row>
    <row r="153" spans="1:19" ht="15.75" hidden="1" customHeight="1">
      <c r="A153" s="121"/>
      <c r="B153" s="121"/>
      <c r="C153" s="61"/>
      <c r="D153" s="121"/>
      <c r="E153" s="132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1:19" ht="15.75" hidden="1" customHeight="1">
      <c r="A154" s="121"/>
      <c r="B154" s="121"/>
      <c r="C154" s="61"/>
      <c r="D154" s="121"/>
      <c r="E154" s="132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</row>
    <row r="155" spans="1:19" ht="15.75" hidden="1" customHeight="1">
      <c r="A155" s="121"/>
      <c r="B155" s="121"/>
      <c r="C155" s="61"/>
      <c r="D155" s="121"/>
      <c r="E155" s="132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1:19" ht="15.75" hidden="1" customHeight="1">
      <c r="A156" s="121"/>
      <c r="B156" s="121"/>
      <c r="C156" s="61"/>
      <c r="D156" s="121"/>
      <c r="E156" s="132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</row>
    <row r="157" spans="1:19" ht="15.75" hidden="1" customHeight="1">
      <c r="A157" s="121"/>
      <c r="B157" s="121"/>
      <c r="C157" s="61"/>
      <c r="D157" s="121"/>
      <c r="E157" s="132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1:19" ht="15.75" hidden="1" customHeight="1">
      <c r="A158" s="121"/>
      <c r="B158" s="121"/>
      <c r="C158" s="61"/>
      <c r="D158" s="121"/>
      <c r="E158" s="132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</row>
    <row r="159" spans="1:19" ht="15.75" hidden="1" customHeight="1">
      <c r="A159" s="121"/>
      <c r="B159" s="121"/>
      <c r="C159" s="61"/>
      <c r="D159" s="121"/>
      <c r="E159" s="132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1:19" ht="15.75" hidden="1" customHeight="1">
      <c r="A160" s="121"/>
      <c r="B160" s="121"/>
      <c r="C160" s="61"/>
      <c r="D160" s="121"/>
      <c r="E160" s="132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</row>
    <row r="161" spans="1:19" ht="15.75" hidden="1" customHeight="1">
      <c r="A161" s="121"/>
      <c r="B161" s="121"/>
      <c r="C161" s="61"/>
      <c r="D161" s="121"/>
      <c r="E161" s="132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1:19" ht="15.75" hidden="1" customHeight="1">
      <c r="A162" s="121"/>
      <c r="B162" s="121"/>
      <c r="C162" s="61"/>
      <c r="D162" s="121"/>
      <c r="E162" s="132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</row>
    <row r="163" spans="1:19" ht="15.75" hidden="1" customHeight="1">
      <c r="A163" s="121"/>
      <c r="B163" s="121"/>
      <c r="C163" s="61"/>
      <c r="D163" s="121"/>
      <c r="E163" s="132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1:19" ht="15.75" hidden="1" customHeight="1" thickBot="1">
      <c r="A164" s="121"/>
      <c r="B164" s="121"/>
      <c r="C164" s="61"/>
      <c r="D164" s="121"/>
      <c r="E164" s="132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</row>
    <row r="165" spans="1:19" ht="50.25" hidden="1" customHeight="1" thickBot="1">
      <c r="A165" s="41" t="s">
        <v>246</v>
      </c>
      <c r="B165" s="504" t="s">
        <v>247</v>
      </c>
      <c r="C165" s="505"/>
      <c r="D165" s="505"/>
      <c r="E165" s="505"/>
      <c r="F165" s="505"/>
      <c r="G165" s="285"/>
      <c r="H165" s="120" t="s">
        <v>8</v>
      </c>
      <c r="I165" s="120" t="s">
        <v>8</v>
      </c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1:19" ht="15.75" hidden="1" customHeight="1">
      <c r="A166" s="134">
        <v>13339</v>
      </c>
      <c r="B166" s="57" t="s">
        <v>248</v>
      </c>
      <c r="C166" s="34" t="s">
        <v>146</v>
      </c>
      <c r="D166" s="34" t="s">
        <v>71</v>
      </c>
      <c r="E166" s="58">
        <f>1/30</f>
        <v>3.3333333333333333E-2</v>
      </c>
      <c r="F166" s="122">
        <v>855.78</v>
      </c>
      <c r="G166" s="306"/>
      <c r="H166" s="60">
        <f t="shared" ref="H166:I176" si="16">E166*F166</f>
        <v>28.526</v>
      </c>
      <c r="I166" s="60">
        <f t="shared" si="16"/>
        <v>0</v>
      </c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</row>
    <row r="167" spans="1:19" ht="15.75" hidden="1" customHeight="1">
      <c r="A167" s="123">
        <v>34519</v>
      </c>
      <c r="B167" s="46" t="s">
        <v>249</v>
      </c>
      <c r="C167" s="36" t="s">
        <v>146</v>
      </c>
      <c r="D167" s="36" t="s">
        <v>71</v>
      </c>
      <c r="E167" s="44">
        <f>1/30</f>
        <v>3.3333333333333333E-2</v>
      </c>
      <c r="F167" s="124">
        <v>71.819999999999993</v>
      </c>
      <c r="G167" s="307"/>
      <c r="H167" s="45">
        <f t="shared" si="16"/>
        <v>2.3939999999999997</v>
      </c>
      <c r="I167" s="45">
        <f t="shared" si="16"/>
        <v>0</v>
      </c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1:19" ht="15.75" hidden="1" customHeight="1">
      <c r="A168" s="123">
        <v>3405</v>
      </c>
      <c r="B168" s="46" t="s">
        <v>250</v>
      </c>
      <c r="C168" s="36" t="s">
        <v>146</v>
      </c>
      <c r="D168" s="36" t="s">
        <v>71</v>
      </c>
      <c r="E168" s="44">
        <f>3/30</f>
        <v>0.1</v>
      </c>
      <c r="F168" s="124">
        <v>43.28</v>
      </c>
      <c r="G168" s="307"/>
      <c r="H168" s="45">
        <f t="shared" si="16"/>
        <v>4.3280000000000003</v>
      </c>
      <c r="I168" s="45">
        <f t="shared" si="16"/>
        <v>0</v>
      </c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</row>
    <row r="169" spans="1:19" ht="15.75" hidden="1" customHeight="1">
      <c r="A169" s="123">
        <v>841</v>
      </c>
      <c r="B169" s="46" t="s">
        <v>251</v>
      </c>
      <c r="C169" s="36" t="s">
        <v>146</v>
      </c>
      <c r="D169" s="36" t="s">
        <v>148</v>
      </c>
      <c r="E169" s="44">
        <f>8.46/30</f>
        <v>0.28200000000000003</v>
      </c>
      <c r="F169" s="124">
        <v>20.260000000000002</v>
      </c>
      <c r="G169" s="307"/>
      <c r="H169" s="45">
        <f t="shared" si="16"/>
        <v>5.7133200000000013</v>
      </c>
      <c r="I169" s="45">
        <f t="shared" si="16"/>
        <v>0</v>
      </c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1:19" ht="15.75" hidden="1" customHeight="1">
      <c r="A170" s="123">
        <v>3379</v>
      </c>
      <c r="B170" s="46" t="s">
        <v>252</v>
      </c>
      <c r="C170" s="36" t="s">
        <v>146</v>
      </c>
      <c r="D170" s="36" t="s">
        <v>71</v>
      </c>
      <c r="E170" s="44">
        <f>1/30</f>
        <v>3.3333333333333333E-2</v>
      </c>
      <c r="F170" s="124">
        <v>37.909999999999997</v>
      </c>
      <c r="G170" s="307"/>
      <c r="H170" s="45">
        <f t="shared" si="16"/>
        <v>1.2636666666666665</v>
      </c>
      <c r="I170" s="45">
        <f t="shared" si="16"/>
        <v>0</v>
      </c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</row>
    <row r="171" spans="1:19" ht="15.75" hidden="1" customHeight="1">
      <c r="A171" s="123">
        <v>863</v>
      </c>
      <c r="B171" s="46" t="s">
        <v>253</v>
      </c>
      <c r="C171" s="36" t="s">
        <v>146</v>
      </c>
      <c r="D171" s="36" t="s">
        <v>8</v>
      </c>
      <c r="E171" s="44">
        <f>11/30</f>
        <v>0.36666666666666664</v>
      </c>
      <c r="F171" s="124">
        <v>19.309999999999999</v>
      </c>
      <c r="G171" s="307"/>
      <c r="H171" s="45">
        <f t="shared" si="16"/>
        <v>7.080333333333332</v>
      </c>
      <c r="I171" s="45">
        <f t="shared" si="16"/>
        <v>0</v>
      </c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1:19" ht="15.75" hidden="1" customHeight="1">
      <c r="A172" s="123" t="s">
        <v>254</v>
      </c>
      <c r="B172" s="46" t="s">
        <v>255</v>
      </c>
      <c r="C172" s="36" t="s">
        <v>143</v>
      </c>
      <c r="D172" s="36" t="s">
        <v>67</v>
      </c>
      <c r="E172" s="44">
        <f>4/30</f>
        <v>0.13333333333333333</v>
      </c>
      <c r="F172" s="124">
        <v>126.37</v>
      </c>
      <c r="G172" s="307"/>
      <c r="H172" s="45">
        <f t="shared" si="16"/>
        <v>16.849333333333334</v>
      </c>
      <c r="I172" s="45">
        <f t="shared" si="16"/>
        <v>0</v>
      </c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1:19" ht="15.75" hidden="1" customHeight="1">
      <c r="A173" s="123">
        <v>88265</v>
      </c>
      <c r="B173" s="46" t="s">
        <v>256</v>
      </c>
      <c r="C173" s="36" t="s">
        <v>129</v>
      </c>
      <c r="D173" s="36" t="s">
        <v>67</v>
      </c>
      <c r="E173" s="44">
        <f>2/30</f>
        <v>6.6666666666666666E-2</v>
      </c>
      <c r="F173" s="124">
        <v>18.350000000000001</v>
      </c>
      <c r="G173" s="307"/>
      <c r="H173" s="45">
        <f t="shared" si="16"/>
        <v>1.2233333333333334</v>
      </c>
      <c r="I173" s="45">
        <f t="shared" si="16"/>
        <v>0</v>
      </c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1:19" ht="15.75" hidden="1" customHeight="1">
      <c r="A174" s="123">
        <v>88286</v>
      </c>
      <c r="B174" s="46" t="s">
        <v>257</v>
      </c>
      <c r="C174" s="36" t="s">
        <v>129</v>
      </c>
      <c r="D174" s="36" t="s">
        <v>67</v>
      </c>
      <c r="E174" s="44">
        <f>1/30</f>
        <v>3.3333333333333333E-2</v>
      </c>
      <c r="F174" s="124">
        <v>15.8</v>
      </c>
      <c r="G174" s="307"/>
      <c r="H174" s="45">
        <f t="shared" si="16"/>
        <v>0.52666666666666673</v>
      </c>
      <c r="I174" s="45">
        <f t="shared" si="16"/>
        <v>0</v>
      </c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</row>
    <row r="175" spans="1:19" ht="15.75" hidden="1" customHeight="1">
      <c r="A175" s="135">
        <f t="shared" ref="A175:D176" si="17">A145</f>
        <v>88309</v>
      </c>
      <c r="B175" s="136" t="str">
        <f t="shared" si="17"/>
        <v>PEDREIRO COM ENCARGOS COMPLEMENTARES</v>
      </c>
      <c r="C175" s="137" t="str">
        <f t="shared" si="17"/>
        <v>m.o.</v>
      </c>
      <c r="D175" s="138" t="str">
        <f t="shared" si="17"/>
        <v>h</v>
      </c>
      <c r="E175" s="139">
        <v>3.3000000000000002E-2</v>
      </c>
      <c r="F175" s="140">
        <f>F145</f>
        <v>21.15</v>
      </c>
      <c r="G175" s="308"/>
      <c r="H175" s="141">
        <f t="shared" si="16"/>
        <v>0.69794999999999996</v>
      </c>
      <c r="I175" s="141">
        <f t="shared" si="16"/>
        <v>0</v>
      </c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1:19" ht="15.75" hidden="1" customHeight="1" thickBot="1">
      <c r="A176" s="142">
        <f t="shared" si="17"/>
        <v>88316</v>
      </c>
      <c r="B176" s="143" t="str">
        <f t="shared" si="17"/>
        <v>SERVENTE COM ENCARGOS COMPLEMENTARES</v>
      </c>
      <c r="C176" s="144" t="str">
        <f t="shared" si="17"/>
        <v>m.o.</v>
      </c>
      <c r="D176" s="145" t="str">
        <f t="shared" si="17"/>
        <v>h</v>
      </c>
      <c r="E176" s="65">
        <v>3.3000000000000002E-2</v>
      </c>
      <c r="F176" s="146">
        <f>F146</f>
        <v>17.649999999999999</v>
      </c>
      <c r="G176" s="309"/>
      <c r="H176" s="66">
        <f t="shared" si="16"/>
        <v>0.58245000000000002</v>
      </c>
      <c r="I176" s="66">
        <f t="shared" si="16"/>
        <v>0</v>
      </c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</row>
    <row r="177" spans="1:19" ht="15.75" hidden="1" customHeight="1">
      <c r="A177" s="529" t="s">
        <v>258</v>
      </c>
      <c r="B177" s="503"/>
      <c r="C177" s="503"/>
      <c r="D177" s="503"/>
      <c r="E177" s="503"/>
      <c r="F177" s="530"/>
      <c r="G177" s="286"/>
      <c r="H177" s="147">
        <f>SUM(H166:H176)</f>
        <v>69.185053333333329</v>
      </c>
      <c r="I177" s="147">
        <f>SUM(I166:I176)</f>
        <v>0</v>
      </c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1:19" ht="15.75" hidden="1" customHeight="1" thickBot="1">
      <c r="A178" s="148"/>
      <c r="B178" s="148"/>
      <c r="C178" s="148"/>
      <c r="D178" s="148"/>
      <c r="E178" s="148"/>
      <c r="F178" s="148"/>
      <c r="G178" s="148"/>
      <c r="H178" s="71"/>
      <c r="I178" s="7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</row>
    <row r="179" spans="1:19" ht="15.75" hidden="1" customHeight="1" thickBot="1">
      <c r="A179" s="32">
        <v>21</v>
      </c>
      <c r="B179" s="531" t="s">
        <v>9</v>
      </c>
      <c r="C179" s="505"/>
      <c r="D179" s="505"/>
      <c r="E179" s="505"/>
      <c r="F179" s="505"/>
      <c r="G179" s="505"/>
      <c r="H179" s="511"/>
      <c r="I179" s="13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ht="15.75" hidden="1" customHeight="1" thickBot="1">
      <c r="A180" s="33" t="s">
        <v>259</v>
      </c>
      <c r="B180" s="524" t="s">
        <v>260</v>
      </c>
      <c r="C180" s="505"/>
      <c r="D180" s="505"/>
      <c r="E180" s="505"/>
      <c r="F180" s="511"/>
      <c r="G180" s="287"/>
      <c r="H180" s="149" t="s">
        <v>71</v>
      </c>
      <c r="I180" s="149" t="s">
        <v>71</v>
      </c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ht="52.5" hidden="1" customHeight="1">
      <c r="A181" s="73">
        <v>92145</v>
      </c>
      <c r="B181" s="150" t="s">
        <v>261</v>
      </c>
      <c r="C181" s="73" t="s">
        <v>143</v>
      </c>
      <c r="D181" s="73" t="s">
        <v>67</v>
      </c>
      <c r="E181" s="74">
        <f>(3+3)*6</f>
        <v>36</v>
      </c>
      <c r="F181" s="124">
        <v>55.02</v>
      </c>
      <c r="G181" s="310"/>
      <c r="H181" s="151">
        <f t="shared" ref="H181:I183" si="18">E181*F181</f>
        <v>1980.72</v>
      </c>
      <c r="I181" s="151">
        <f t="shared" si="18"/>
        <v>0</v>
      </c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ht="15.75" hidden="1" customHeight="1">
      <c r="A182" s="36">
        <v>88284</v>
      </c>
      <c r="B182" s="35" t="s">
        <v>262</v>
      </c>
      <c r="C182" s="36" t="s">
        <v>129</v>
      </c>
      <c r="D182" s="36" t="s">
        <v>67</v>
      </c>
      <c r="E182" s="37">
        <f>E181</f>
        <v>36</v>
      </c>
      <c r="F182" s="124">
        <v>18.12</v>
      </c>
      <c r="G182" s="124"/>
      <c r="H182" s="38">
        <f t="shared" si="18"/>
        <v>652.32000000000005</v>
      </c>
      <c r="I182" s="38">
        <f t="shared" si="18"/>
        <v>0</v>
      </c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ht="15.75" hidden="1" customHeight="1" thickBot="1">
      <c r="A183" s="152">
        <f>A176</f>
        <v>88316</v>
      </c>
      <c r="B183" s="153" t="str">
        <f>B176</f>
        <v>SERVENTE COM ENCARGOS COMPLEMENTARES</v>
      </c>
      <c r="C183" s="152" t="str">
        <f>C176</f>
        <v>m.o.</v>
      </c>
      <c r="D183" s="154" t="str">
        <f>D176</f>
        <v>h</v>
      </c>
      <c r="E183" s="152">
        <v>36</v>
      </c>
      <c r="F183" s="146">
        <f>F176</f>
        <v>17.649999999999999</v>
      </c>
      <c r="G183" s="311"/>
      <c r="H183" s="155">
        <f t="shared" si="18"/>
        <v>635.4</v>
      </c>
      <c r="I183" s="155">
        <f t="shared" si="18"/>
        <v>0</v>
      </c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ht="15.75" hidden="1" customHeight="1">
      <c r="A184" s="532" t="s">
        <v>25</v>
      </c>
      <c r="B184" s="533"/>
      <c r="C184" s="533"/>
      <c r="D184" s="533"/>
      <c r="E184" s="533"/>
      <c r="F184" s="534"/>
      <c r="G184" s="288"/>
      <c r="H184" s="156">
        <f>SUM(H181:H183)</f>
        <v>3268.44</v>
      </c>
      <c r="I184" s="156">
        <f>SUM(I181:I183)</f>
        <v>0</v>
      </c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ht="15.75" hidden="1" customHeight="1">
      <c r="A185" s="535"/>
      <c r="B185" s="533"/>
      <c r="C185" s="533"/>
      <c r="D185" s="533"/>
      <c r="E185" s="533"/>
      <c r="F185" s="533"/>
      <c r="G185" s="533"/>
      <c r="H185" s="534"/>
      <c r="I185" s="13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ht="15.75" hidden="1" customHeight="1">
      <c r="A186" s="31"/>
      <c r="B186" s="31"/>
      <c r="C186" s="61"/>
      <c r="D186" s="31"/>
      <c r="E186" s="105"/>
      <c r="F186" s="157"/>
      <c r="G186" s="157"/>
      <c r="H186" s="157"/>
      <c r="I186" s="157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ht="15.75" hidden="1" customHeight="1">
      <c r="A187" s="31"/>
      <c r="B187" s="31"/>
      <c r="C187" s="61"/>
      <c r="D187" s="31"/>
      <c r="E187" s="105"/>
      <c r="F187" s="157"/>
      <c r="G187" s="157"/>
      <c r="H187" s="157"/>
      <c r="I187" s="157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ht="15.75" hidden="1" customHeight="1">
      <c r="A188" s="148"/>
      <c r="B188" s="148"/>
      <c r="C188" s="61"/>
      <c r="D188" s="501" t="s">
        <v>263</v>
      </c>
      <c r="E188" s="496"/>
      <c r="F188" s="496"/>
      <c r="G188" s="496"/>
      <c r="H188" s="496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ht="15.75" hidden="1" customHeight="1">
      <c r="A189" s="148"/>
      <c r="B189" s="148"/>
      <c r="C189" s="61"/>
      <c r="D189" s="501" t="s">
        <v>264</v>
      </c>
      <c r="E189" s="496"/>
      <c r="F189" s="496"/>
      <c r="G189" s="496"/>
      <c r="H189" s="496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ht="15.75" hidden="1" customHeight="1">
      <c r="A190" s="148"/>
      <c r="B190" s="148"/>
      <c r="C190" s="61"/>
      <c r="D190" s="501" t="s">
        <v>265</v>
      </c>
      <c r="E190" s="496"/>
      <c r="F190" s="496"/>
      <c r="G190" s="496"/>
      <c r="H190" s="496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ht="15.75" hidden="1" customHeight="1">
      <c r="A191" s="29"/>
      <c r="B191" s="29"/>
      <c r="C191" s="158"/>
      <c r="D191" s="525" t="s">
        <v>266</v>
      </c>
      <c r="E191" s="496"/>
      <c r="F191" s="496"/>
      <c r="G191" s="496"/>
      <c r="H191" s="496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ht="15.75" hidden="1" customHeight="1">
      <c r="A192" s="31"/>
      <c r="B192" s="31"/>
      <c r="C192" s="61"/>
      <c r="D192" s="31"/>
      <c r="E192" s="105"/>
      <c r="F192" s="157"/>
      <c r="G192" s="157"/>
      <c r="H192" s="157"/>
      <c r="I192" s="157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ht="15.75" hidden="1" customHeight="1">
      <c r="A193" s="31"/>
      <c r="B193" s="31"/>
      <c r="C193" s="61"/>
      <c r="D193" s="31"/>
      <c r="E193" s="105"/>
      <c r="F193" s="157"/>
      <c r="G193" s="157"/>
      <c r="H193" s="157"/>
      <c r="I193" s="157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ht="15.75" hidden="1" customHeight="1">
      <c r="A194" s="31"/>
      <c r="B194" s="31"/>
      <c r="C194" s="61"/>
      <c r="D194" s="31"/>
      <c r="E194" s="105"/>
      <c r="F194" s="157"/>
      <c r="G194" s="157"/>
      <c r="H194" s="157"/>
      <c r="I194" s="157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ht="15.75" hidden="1" customHeight="1">
      <c r="A195" s="159" t="s">
        <v>267</v>
      </c>
      <c r="B195" s="160" t="s">
        <v>268</v>
      </c>
      <c r="C195" s="159" t="s">
        <v>24</v>
      </c>
      <c r="D195" s="159" t="s">
        <v>8</v>
      </c>
      <c r="E195" s="161" t="s">
        <v>124</v>
      </c>
      <c r="F195" s="162" t="s">
        <v>269</v>
      </c>
      <c r="G195" s="162"/>
      <c r="H195" s="163" t="s">
        <v>270</v>
      </c>
      <c r="I195" s="163" t="s">
        <v>270</v>
      </c>
      <c r="J195" s="91"/>
      <c r="K195" s="100">
        <f>1/0.3</f>
        <v>3.3333333333333335</v>
      </c>
      <c r="L195" s="31"/>
      <c r="M195" s="31"/>
      <c r="N195" s="31"/>
      <c r="O195" s="31"/>
      <c r="P195" s="31"/>
      <c r="Q195" s="31"/>
      <c r="R195" s="31"/>
      <c r="S195" s="31"/>
    </row>
    <row r="196" spans="1:19" ht="15.75" hidden="1" customHeight="1">
      <c r="A196" s="164">
        <v>5953</v>
      </c>
      <c r="B196" s="165" t="s">
        <v>271</v>
      </c>
      <c r="C196" s="166" t="s">
        <v>174</v>
      </c>
      <c r="D196" s="167" t="s">
        <v>144</v>
      </c>
      <c r="E196" s="168">
        <v>1</v>
      </c>
      <c r="F196" s="169">
        <v>33.71</v>
      </c>
      <c r="G196" s="169"/>
      <c r="H196" s="170">
        <f t="shared" ref="H196:I204" si="19">E196*F196</f>
        <v>33.71</v>
      </c>
      <c r="I196" s="170">
        <f t="shared" si="19"/>
        <v>0</v>
      </c>
      <c r="J196" s="91"/>
      <c r="K196" s="100"/>
      <c r="L196" s="31"/>
      <c r="M196" s="31"/>
      <c r="N196" s="31"/>
      <c r="O196" s="31"/>
      <c r="P196" s="31"/>
      <c r="Q196" s="31"/>
      <c r="R196" s="31"/>
      <c r="S196" s="31"/>
    </row>
    <row r="197" spans="1:19" ht="15.75" hidden="1" customHeight="1">
      <c r="A197" s="164">
        <v>5954</v>
      </c>
      <c r="B197" s="165" t="s">
        <v>272</v>
      </c>
      <c r="C197" s="166" t="s">
        <v>174</v>
      </c>
      <c r="D197" s="167" t="s">
        <v>273</v>
      </c>
      <c r="E197" s="168">
        <v>1</v>
      </c>
      <c r="F197" s="169">
        <v>2.42</v>
      </c>
      <c r="G197" s="169"/>
      <c r="H197" s="170">
        <f t="shared" si="19"/>
        <v>2.42</v>
      </c>
      <c r="I197" s="170">
        <f t="shared" si="19"/>
        <v>0</v>
      </c>
      <c r="J197" s="91"/>
      <c r="K197" s="100"/>
      <c r="L197" s="31"/>
      <c r="M197" s="31"/>
      <c r="N197" s="31"/>
      <c r="O197" s="31"/>
      <c r="P197" s="31"/>
      <c r="Q197" s="31"/>
      <c r="R197" s="31"/>
      <c r="S197" s="31"/>
    </row>
    <row r="198" spans="1:19" ht="15.75" hidden="1" customHeight="1">
      <c r="A198" s="164">
        <v>5797</v>
      </c>
      <c r="B198" s="165" t="s">
        <v>274</v>
      </c>
      <c r="C198" s="166" t="s">
        <v>174</v>
      </c>
      <c r="D198" s="167" t="s">
        <v>67</v>
      </c>
      <c r="E198" s="168">
        <v>1</v>
      </c>
      <c r="F198" s="169">
        <v>2.4</v>
      </c>
      <c r="G198" s="169"/>
      <c r="H198" s="170">
        <f t="shared" si="19"/>
        <v>2.4</v>
      </c>
      <c r="I198" s="170">
        <f t="shared" si="19"/>
        <v>0</v>
      </c>
      <c r="J198" s="91"/>
      <c r="K198" s="100"/>
      <c r="L198" s="31"/>
      <c r="M198" s="31"/>
      <c r="N198" s="31"/>
      <c r="O198" s="31"/>
      <c r="P198" s="31"/>
      <c r="Q198" s="31"/>
      <c r="R198" s="31"/>
      <c r="S198" s="31"/>
    </row>
    <row r="199" spans="1:19" ht="15.75" hidden="1" customHeight="1">
      <c r="A199" s="164">
        <v>53865</v>
      </c>
      <c r="B199" s="165" t="s">
        <v>275</v>
      </c>
      <c r="C199" s="166" t="s">
        <v>174</v>
      </c>
      <c r="D199" s="167" t="s">
        <v>67</v>
      </c>
      <c r="E199" s="168">
        <v>1</v>
      </c>
      <c r="F199" s="169">
        <v>28.89</v>
      </c>
      <c r="G199" s="169"/>
      <c r="H199" s="170">
        <f t="shared" si="19"/>
        <v>28.89</v>
      </c>
      <c r="I199" s="170">
        <f t="shared" si="19"/>
        <v>0</v>
      </c>
      <c r="J199" s="91"/>
      <c r="K199" s="100"/>
      <c r="L199" s="31"/>
      <c r="M199" s="31"/>
      <c r="N199" s="31"/>
      <c r="O199" s="31"/>
      <c r="P199" s="31"/>
      <c r="Q199" s="31"/>
      <c r="R199" s="31"/>
      <c r="S199" s="31"/>
    </row>
    <row r="200" spans="1:19" ht="15.75" hidden="1" customHeight="1">
      <c r="A200" s="164">
        <v>90957</v>
      </c>
      <c r="B200" s="165" t="s">
        <v>276</v>
      </c>
      <c r="C200" s="166" t="s">
        <v>174</v>
      </c>
      <c r="D200" s="167" t="s">
        <v>67</v>
      </c>
      <c r="E200" s="168">
        <v>1</v>
      </c>
      <c r="F200" s="169">
        <v>1.92</v>
      </c>
      <c r="G200" s="169"/>
      <c r="H200" s="170">
        <f t="shared" si="19"/>
        <v>1.92</v>
      </c>
      <c r="I200" s="170">
        <f t="shared" si="19"/>
        <v>0</v>
      </c>
      <c r="J200" s="91"/>
      <c r="K200" s="100"/>
      <c r="L200" s="31"/>
      <c r="M200" s="31"/>
      <c r="N200" s="31"/>
      <c r="O200" s="31"/>
      <c r="P200" s="31"/>
      <c r="Q200" s="31"/>
      <c r="R200" s="31"/>
      <c r="S200" s="31"/>
    </row>
    <row r="201" spans="1:19" ht="15.75" hidden="1" customHeight="1">
      <c r="A201" s="164">
        <v>90958</v>
      </c>
      <c r="B201" s="165" t="s">
        <v>277</v>
      </c>
      <c r="C201" s="166" t="s">
        <v>174</v>
      </c>
      <c r="D201" s="167" t="s">
        <v>67</v>
      </c>
      <c r="E201" s="168">
        <v>1</v>
      </c>
      <c r="F201" s="169">
        <v>0.5</v>
      </c>
      <c r="G201" s="169"/>
      <c r="H201" s="170">
        <f t="shared" si="19"/>
        <v>0.5</v>
      </c>
      <c r="I201" s="170">
        <f t="shared" si="19"/>
        <v>0</v>
      </c>
      <c r="J201" s="91"/>
      <c r="K201" s="100"/>
      <c r="L201" s="31"/>
      <c r="M201" s="31"/>
      <c r="N201" s="31"/>
      <c r="O201" s="31"/>
      <c r="P201" s="31"/>
      <c r="Q201" s="31"/>
      <c r="R201" s="31"/>
      <c r="S201" s="31"/>
    </row>
    <row r="202" spans="1:19" ht="15.75" hidden="1" customHeight="1">
      <c r="A202" s="164">
        <v>88292</v>
      </c>
      <c r="B202" s="165" t="s">
        <v>278</v>
      </c>
      <c r="C202" s="166" t="s">
        <v>211</v>
      </c>
      <c r="D202" s="167" t="s">
        <v>67</v>
      </c>
      <c r="E202" s="168">
        <v>1</v>
      </c>
      <c r="F202" s="169">
        <v>13.16</v>
      </c>
      <c r="G202" s="169"/>
      <c r="H202" s="170">
        <f t="shared" si="19"/>
        <v>13.16</v>
      </c>
      <c r="I202" s="170">
        <f t="shared" si="19"/>
        <v>0</v>
      </c>
      <c r="J202" s="91"/>
      <c r="K202" s="100"/>
      <c r="L202" s="31"/>
      <c r="M202" s="31"/>
      <c r="N202" s="31"/>
      <c r="O202" s="31"/>
      <c r="P202" s="31"/>
      <c r="Q202" s="31"/>
      <c r="R202" s="31"/>
      <c r="S202" s="31"/>
    </row>
    <row r="203" spans="1:19" ht="15.75" hidden="1" customHeight="1">
      <c r="A203" s="164">
        <v>5824</v>
      </c>
      <c r="B203" s="165" t="s">
        <v>279</v>
      </c>
      <c r="C203" s="166" t="s">
        <v>174</v>
      </c>
      <c r="D203" s="167" t="s">
        <v>144</v>
      </c>
      <c r="E203" s="168">
        <v>0.2</v>
      </c>
      <c r="F203" s="169">
        <v>128.16</v>
      </c>
      <c r="G203" s="169"/>
      <c r="H203" s="170">
        <f t="shared" si="19"/>
        <v>25.632000000000001</v>
      </c>
      <c r="I203" s="170">
        <f t="shared" si="19"/>
        <v>0</v>
      </c>
      <c r="J203" s="91"/>
      <c r="K203" s="100"/>
      <c r="L203" s="31"/>
      <c r="M203" s="31"/>
      <c r="N203" s="31"/>
      <c r="O203" s="31"/>
      <c r="P203" s="31"/>
      <c r="Q203" s="31"/>
      <c r="R203" s="31"/>
      <c r="S203" s="31"/>
    </row>
    <row r="204" spans="1:19" ht="15.75" hidden="1" customHeight="1">
      <c r="A204" s="164">
        <v>5826</v>
      </c>
      <c r="B204" s="165" t="s">
        <v>280</v>
      </c>
      <c r="C204" s="166" t="s">
        <v>174</v>
      </c>
      <c r="D204" s="167" t="s">
        <v>273</v>
      </c>
      <c r="E204" s="168">
        <v>0.2</v>
      </c>
      <c r="F204" s="169">
        <v>30.07</v>
      </c>
      <c r="G204" s="169"/>
      <c r="H204" s="170">
        <f t="shared" si="19"/>
        <v>6.0140000000000002</v>
      </c>
      <c r="I204" s="170">
        <f t="shared" si="19"/>
        <v>0</v>
      </c>
      <c r="J204" s="91"/>
      <c r="K204" s="100"/>
      <c r="L204" s="31"/>
      <c r="M204" s="31"/>
      <c r="N204" s="31"/>
      <c r="O204" s="31"/>
      <c r="P204" s="31"/>
      <c r="Q204" s="31"/>
      <c r="R204" s="31"/>
      <c r="S204" s="31"/>
    </row>
    <row r="205" spans="1:19" ht="15.75" hidden="1" customHeight="1">
      <c r="A205" s="526" t="s">
        <v>25</v>
      </c>
      <c r="B205" s="527"/>
      <c r="C205" s="527"/>
      <c r="D205" s="527"/>
      <c r="E205" s="527"/>
      <c r="F205" s="528"/>
      <c r="G205" s="284"/>
      <c r="H205" s="171">
        <f>SUM(H196:H204)</f>
        <v>114.646</v>
      </c>
      <c r="I205" s="171">
        <f>SUM(I196:I204)</f>
        <v>0</v>
      </c>
      <c r="J205" s="93"/>
      <c r="K205" s="100"/>
      <c r="L205" s="31"/>
      <c r="M205" s="31"/>
      <c r="N205" s="31"/>
      <c r="O205" s="31"/>
      <c r="P205" s="31"/>
      <c r="Q205" s="31"/>
      <c r="R205" s="31"/>
      <c r="S205" s="31"/>
    </row>
    <row r="206" spans="1:19" ht="15.75" hidden="1" customHeight="1">
      <c r="A206" s="31"/>
      <c r="B206" s="31"/>
      <c r="C206" s="31"/>
      <c r="D206" s="31"/>
      <c r="E206" s="172"/>
      <c r="F206" s="100"/>
      <c r="G206" s="100"/>
      <c r="H206" s="100"/>
      <c r="I206" s="100"/>
      <c r="J206" s="100"/>
      <c r="K206" s="100"/>
      <c r="L206" s="31"/>
      <c r="M206" s="31"/>
      <c r="N206" s="31"/>
      <c r="O206" s="31"/>
      <c r="P206" s="31"/>
      <c r="Q206" s="31"/>
      <c r="R206" s="31"/>
      <c r="S206" s="31"/>
    </row>
    <row r="207" spans="1:19" ht="15" hidden="1" customHeight="1"/>
  </sheetData>
  <mergeCells count="60">
    <mergeCell ref="D189:H189"/>
    <mergeCell ref="D190:H190"/>
    <mergeCell ref="D191:H191"/>
    <mergeCell ref="A205:F205"/>
    <mergeCell ref="A177:F177"/>
    <mergeCell ref="B179:H179"/>
    <mergeCell ref="B180:F180"/>
    <mergeCell ref="A184:F184"/>
    <mergeCell ref="A185:H185"/>
    <mergeCell ref="D188:H188"/>
    <mergeCell ref="L94:Q94"/>
    <mergeCell ref="B96:H96"/>
    <mergeCell ref="B165:F165"/>
    <mergeCell ref="A110:F110"/>
    <mergeCell ref="B112:H112"/>
    <mergeCell ref="B113:F113"/>
    <mergeCell ref="A117:F117"/>
    <mergeCell ref="B119:F119"/>
    <mergeCell ref="A123:F123"/>
    <mergeCell ref="B125:F125"/>
    <mergeCell ref="A129:F129"/>
    <mergeCell ref="B131:F131"/>
    <mergeCell ref="A147:F147"/>
    <mergeCell ref="B149:F149"/>
    <mergeCell ref="M78:Q78"/>
    <mergeCell ref="A85:F85"/>
    <mergeCell ref="L85:Q85"/>
    <mergeCell ref="B87:F87"/>
    <mergeCell ref="M87:Q87"/>
    <mergeCell ref="B40:I40"/>
    <mergeCell ref="A28:H28"/>
    <mergeCell ref="A33:H33"/>
    <mergeCell ref="B97:F97"/>
    <mergeCell ref="A76:F76"/>
    <mergeCell ref="A77:H77"/>
    <mergeCell ref="B78:F78"/>
    <mergeCell ref="A94:F94"/>
    <mergeCell ref="D31:H31"/>
    <mergeCell ref="D32:H32"/>
    <mergeCell ref="B1:H1"/>
    <mergeCell ref="B2:H2"/>
    <mergeCell ref="B3:H3"/>
    <mergeCell ref="B4:H4"/>
    <mergeCell ref="B60:F60"/>
    <mergeCell ref="A15:F15"/>
    <mergeCell ref="A16:F16"/>
    <mergeCell ref="B24:H24"/>
    <mergeCell ref="A27:F27"/>
    <mergeCell ref="A38:H38"/>
    <mergeCell ref="A57:F57"/>
    <mergeCell ref="A58:H58"/>
    <mergeCell ref="B59:H59"/>
    <mergeCell ref="A22:G22"/>
    <mergeCell ref="A23:G23"/>
    <mergeCell ref="B39:I39"/>
    <mergeCell ref="B8:I8"/>
    <mergeCell ref="B5:G5"/>
    <mergeCell ref="D29:H29"/>
    <mergeCell ref="A6:H6"/>
    <mergeCell ref="D30:H30"/>
  </mergeCells>
  <conditionalFormatting sqref="L96:P109">
    <cfRule type="expression" dxfId="1" priority="1" stopIfTrue="1">
      <formula>AND($A96&lt;&gt;"COMPOSICAO",$A96&lt;&gt;"INSUMO",$A96&lt;&gt;"")</formula>
    </cfRule>
    <cfRule type="expression" dxfId="0" priority="2" stopIfTrue="1">
      <formula>AND(OR($A96="COMPOSICAO",$A96="INSUMO",$A96&lt;&gt;""),$A96&lt;&gt;"")</formula>
    </cfRule>
  </conditionalFormatting>
  <hyperlinks>
    <hyperlink ref="D30" r:id="rId1" xr:uid="{00000000-0004-0000-0400-000000000000}"/>
    <hyperlink ref="D31" r:id="rId2" xr:uid="{00000000-0004-0000-0400-000001000000}"/>
    <hyperlink ref="D32" r:id="rId3" xr:uid="{00000000-0004-0000-0400-000002000000}"/>
  </hyperlinks>
  <pageMargins left="0.70866141732283472" right="0.70866141732283472" top="0.74803149606299213" bottom="0.74803149606299213" header="0.31496062992125984" footer="0.31496062992125984"/>
  <pageSetup paperSize="9" scale="88" fitToHeight="0" orientation="landscape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0"/>
  <sheetViews>
    <sheetView view="pageBreakPreview" zoomScale="60" zoomScaleNormal="90" workbookViewId="0">
      <selection activeCell="M20" sqref="M20"/>
    </sheetView>
  </sheetViews>
  <sheetFormatPr defaultColWidth="11" defaultRowHeight="15" customHeight="1"/>
  <cols>
    <col min="1" max="1" width="8.375" style="11" customWidth="1"/>
    <col min="2" max="2" width="22.375" style="11" customWidth="1"/>
    <col min="3" max="3" width="11.5" style="11" customWidth="1"/>
    <col min="4" max="4" width="8.125" style="11" customWidth="1"/>
    <col min="5" max="5" width="11.125" style="11" customWidth="1"/>
    <col min="6" max="17" width="11.5" style="11" customWidth="1"/>
    <col min="18" max="18" width="12.625" style="11" customWidth="1"/>
    <col min="19" max="16384" width="11" style="11"/>
  </cols>
  <sheetData>
    <row r="1" spans="1:18" ht="29.25" customHeight="1">
      <c r="A1" s="536" t="s">
        <v>81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/>
      <c r="N1"/>
      <c r="O1"/>
      <c r="P1"/>
      <c r="Q1"/>
      <c r="R1"/>
    </row>
    <row r="2" spans="1:18" ht="29.25" customHeight="1">
      <c r="A2" s="537" t="s">
        <v>82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/>
      <c r="N2"/>
      <c r="O2"/>
      <c r="P2"/>
      <c r="Q2"/>
      <c r="R2"/>
    </row>
    <row r="3" spans="1:18" ht="15" customHeight="1">
      <c r="A3" s="267" t="s">
        <v>288</v>
      </c>
      <c r="B3" s="411" t="s">
        <v>328</v>
      </c>
      <c r="C3" s="411"/>
      <c r="D3" s="411"/>
      <c r="E3" s="411"/>
      <c r="F3" s="411"/>
      <c r="G3" s="411"/>
      <c r="H3" s="411"/>
      <c r="I3" s="411"/>
      <c r="J3" s="411"/>
      <c r="K3" s="411" t="s">
        <v>306</v>
      </c>
      <c r="L3" s="413">
        <v>45072</v>
      </c>
      <c r="M3"/>
      <c r="N3"/>
      <c r="O3"/>
      <c r="P3"/>
      <c r="Q3"/>
      <c r="R3"/>
    </row>
    <row r="4" spans="1:18" ht="15" customHeight="1">
      <c r="A4" s="412" t="s">
        <v>289</v>
      </c>
      <c r="B4" s="546" t="s">
        <v>95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/>
      <c r="N4"/>
      <c r="O4"/>
      <c r="P4"/>
      <c r="Q4"/>
      <c r="R4"/>
    </row>
    <row r="5" spans="1:18" ht="15" customHeight="1" thickBot="1">
      <c r="A5" s="538" t="s">
        <v>290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/>
      <c r="N5"/>
      <c r="O5"/>
      <c r="P5"/>
      <c r="Q5"/>
      <c r="R5"/>
    </row>
    <row r="6" spans="1:18" ht="15" customHeight="1" thickBot="1">
      <c r="A6" s="399" t="s">
        <v>32</v>
      </c>
      <c r="B6" s="400" t="s">
        <v>22</v>
      </c>
      <c r="C6" s="400" t="s">
        <v>31</v>
      </c>
      <c r="D6" s="401" t="s">
        <v>30</v>
      </c>
      <c r="E6" s="400" t="s">
        <v>291</v>
      </c>
      <c r="F6" s="400" t="s">
        <v>292</v>
      </c>
      <c r="G6" s="400" t="s">
        <v>293</v>
      </c>
      <c r="H6" s="400" t="s">
        <v>315</v>
      </c>
      <c r="I6" s="400" t="s">
        <v>316</v>
      </c>
      <c r="J6" s="400" t="s">
        <v>461</v>
      </c>
      <c r="K6" s="400" t="s">
        <v>462</v>
      </c>
      <c r="L6" s="408" t="s">
        <v>294</v>
      </c>
    </row>
    <row r="7" spans="1:18" ht="18" customHeight="1">
      <c r="A7" s="540">
        <v>1</v>
      </c>
      <c r="B7" s="542" t="str">
        <f>ORÇAMENTO!C12</f>
        <v>PROJETOS</v>
      </c>
      <c r="C7" s="544">
        <f>ORÇAMENTO!K12</f>
        <v>758.2</v>
      </c>
      <c r="D7" s="545">
        <f>C7/$C$25</f>
        <v>1.1358620100538918E-3</v>
      </c>
      <c r="E7" s="407">
        <f>E8*$C7</f>
        <v>0</v>
      </c>
      <c r="F7" s="407">
        <f>F8*$C7</f>
        <v>0</v>
      </c>
      <c r="G7" s="407">
        <f>G8*$C7</f>
        <v>0</v>
      </c>
      <c r="H7" s="407">
        <f t="shared" ref="H7:K21" si="0">H8*$C7</f>
        <v>0</v>
      </c>
      <c r="I7" s="407">
        <f t="shared" si="0"/>
        <v>0</v>
      </c>
      <c r="J7" s="407">
        <f t="shared" si="0"/>
        <v>379.1</v>
      </c>
      <c r="K7" s="407">
        <f t="shared" si="0"/>
        <v>379.1</v>
      </c>
      <c r="L7" s="409">
        <f t="shared" ref="L7:L24" si="1">SUM(E7:K7)</f>
        <v>758.2</v>
      </c>
    </row>
    <row r="8" spans="1:18" ht="17.25" customHeight="1" thickBot="1">
      <c r="A8" s="541"/>
      <c r="B8" s="543"/>
      <c r="C8" s="543"/>
      <c r="D8" s="543"/>
      <c r="E8" s="206">
        <v>0</v>
      </c>
      <c r="F8" s="206">
        <v>0</v>
      </c>
      <c r="G8" s="207">
        <v>0</v>
      </c>
      <c r="H8" s="207">
        <v>0</v>
      </c>
      <c r="I8" s="207">
        <v>0</v>
      </c>
      <c r="J8" s="207">
        <v>0.5</v>
      </c>
      <c r="K8" s="360">
        <v>0.5</v>
      </c>
      <c r="L8" s="410">
        <f t="shared" si="1"/>
        <v>1</v>
      </c>
    </row>
    <row r="9" spans="1:18" ht="21.75" customHeight="1">
      <c r="A9" s="540">
        <v>2</v>
      </c>
      <c r="B9" s="542" t="str">
        <f>ORÇAMENTO!C14</f>
        <v>SERVIÇOS PRELIMINARES / TÉCNICOS</v>
      </c>
      <c r="C9" s="544">
        <f>ORÇAMENTO!K14</f>
        <v>80032.09</v>
      </c>
      <c r="D9" s="545">
        <f>C9/$C$25</f>
        <v>0.11989634742312578</v>
      </c>
      <c r="E9" s="407">
        <f>E10*$C9</f>
        <v>16006.418</v>
      </c>
      <c r="F9" s="407">
        <f>F10*$C9</f>
        <v>16006.418</v>
      </c>
      <c r="G9" s="407">
        <f>G10*$C9</f>
        <v>8003.2089999999998</v>
      </c>
      <c r="H9" s="407">
        <f t="shared" ref="H9" si="2">H10*$C9</f>
        <v>8003.2089999999998</v>
      </c>
      <c r="I9" s="407">
        <f t="shared" ref="I9" si="3">I10*$C9</f>
        <v>8003.2089999999998</v>
      </c>
      <c r="J9" s="407">
        <f t="shared" si="0"/>
        <v>12004.813499999998</v>
      </c>
      <c r="K9" s="407">
        <f t="shared" si="0"/>
        <v>12004.813499999998</v>
      </c>
      <c r="L9" s="409">
        <f t="shared" si="1"/>
        <v>80032.090000000011</v>
      </c>
    </row>
    <row r="10" spans="1:18" ht="23.25" customHeight="1" thickBot="1">
      <c r="A10" s="541"/>
      <c r="B10" s="543"/>
      <c r="C10" s="543"/>
      <c r="D10" s="543"/>
      <c r="E10" s="206">
        <v>0.2</v>
      </c>
      <c r="F10" s="206">
        <v>0.2</v>
      </c>
      <c r="G10" s="206">
        <v>0.1</v>
      </c>
      <c r="H10" s="207">
        <v>0.1</v>
      </c>
      <c r="I10" s="207">
        <v>0.1</v>
      </c>
      <c r="J10" s="207">
        <v>0.15</v>
      </c>
      <c r="K10" s="360">
        <v>0.15</v>
      </c>
      <c r="L10" s="410">
        <f t="shared" si="1"/>
        <v>1</v>
      </c>
    </row>
    <row r="11" spans="1:18" ht="18" customHeight="1">
      <c r="A11" s="540">
        <v>3</v>
      </c>
      <c r="B11" s="542" t="str">
        <f>ORÇAMENTO!C26</f>
        <v>MOVIMENTO DE TERRA</v>
      </c>
      <c r="C11" s="544">
        <f>ORÇAMENTO!K26</f>
        <v>81255.39</v>
      </c>
      <c r="D11" s="545">
        <f>C11/$C$25</f>
        <v>0.12172897733198747</v>
      </c>
      <c r="E11" s="407">
        <f>E12*$C11</f>
        <v>0</v>
      </c>
      <c r="F11" s="407">
        <f>F12*$C11</f>
        <v>16251.078000000001</v>
      </c>
      <c r="G11" s="407">
        <f>G12*$C11</f>
        <v>16251.078000000001</v>
      </c>
      <c r="H11" s="407">
        <f t="shared" ref="H11" si="4">H12*$C11</f>
        <v>12188.308499999999</v>
      </c>
      <c r="I11" s="407">
        <f t="shared" ref="I11" si="5">I12*$C11</f>
        <v>12188.308499999999</v>
      </c>
      <c r="J11" s="407">
        <f t="shared" si="0"/>
        <v>16251.078000000001</v>
      </c>
      <c r="K11" s="407">
        <f t="shared" si="0"/>
        <v>8125.5390000000007</v>
      </c>
      <c r="L11" s="409">
        <f t="shared" si="1"/>
        <v>81255.39</v>
      </c>
    </row>
    <row r="12" spans="1:18" ht="20.25" customHeight="1" thickBot="1">
      <c r="A12" s="541"/>
      <c r="B12" s="543"/>
      <c r="C12" s="543"/>
      <c r="D12" s="543"/>
      <c r="E12" s="206">
        <v>0</v>
      </c>
      <c r="F12" s="206">
        <v>0.2</v>
      </c>
      <c r="G12" s="207">
        <v>0.2</v>
      </c>
      <c r="H12" s="207">
        <v>0.15</v>
      </c>
      <c r="I12" s="207">
        <v>0.15</v>
      </c>
      <c r="J12" s="207">
        <v>0.2</v>
      </c>
      <c r="K12" s="360">
        <v>0.1</v>
      </c>
      <c r="L12" s="410">
        <f t="shared" si="1"/>
        <v>1.0000000000000002</v>
      </c>
    </row>
    <row r="13" spans="1:18" ht="20.25" customHeight="1">
      <c r="A13" s="540">
        <v>4</v>
      </c>
      <c r="B13" s="542" t="str">
        <f>ORÇAMENTO!C30</f>
        <v>INFRA-ESTRUTURA / FUNDAÇÃO SIMPLES</v>
      </c>
      <c r="C13" s="544">
        <f>ORÇAMENTO!K30</f>
        <v>3600.5699999999997</v>
      </c>
      <c r="D13" s="545">
        <f>C13/$C$25</f>
        <v>5.3940262167498565E-3</v>
      </c>
      <c r="E13" s="407">
        <f>E14*$C13</f>
        <v>0</v>
      </c>
      <c r="F13" s="407">
        <f>F14*$C13</f>
        <v>0</v>
      </c>
      <c r="G13" s="407">
        <f>G14*$C13</f>
        <v>720.11400000000003</v>
      </c>
      <c r="H13" s="407">
        <f t="shared" ref="H13" si="6">H14*$C13</f>
        <v>720.11400000000003</v>
      </c>
      <c r="I13" s="407">
        <f t="shared" ref="I13" si="7">I14*$C13</f>
        <v>720.11400000000003</v>
      </c>
      <c r="J13" s="407">
        <f t="shared" si="0"/>
        <v>720.11400000000003</v>
      </c>
      <c r="K13" s="407">
        <f t="shared" si="0"/>
        <v>720.11400000000003</v>
      </c>
      <c r="L13" s="409">
        <f t="shared" si="1"/>
        <v>3600.57</v>
      </c>
    </row>
    <row r="14" spans="1:18" ht="20.25" customHeight="1" thickBot="1">
      <c r="A14" s="541"/>
      <c r="B14" s="543"/>
      <c r="C14" s="543"/>
      <c r="D14" s="543"/>
      <c r="E14" s="206">
        <v>0</v>
      </c>
      <c r="F14" s="206">
        <v>0</v>
      </c>
      <c r="G14" s="207">
        <v>0.2</v>
      </c>
      <c r="H14" s="207">
        <v>0.2</v>
      </c>
      <c r="I14" s="207">
        <v>0.2</v>
      </c>
      <c r="J14" s="207">
        <v>0.2</v>
      </c>
      <c r="K14" s="360">
        <v>0.2</v>
      </c>
      <c r="L14" s="410">
        <f t="shared" si="1"/>
        <v>1</v>
      </c>
    </row>
    <row r="15" spans="1:18" ht="20.25" customHeight="1">
      <c r="A15" s="540">
        <v>5</v>
      </c>
      <c r="B15" s="542" t="str">
        <f>ORÇAMENTO!C33</f>
        <v>COBERTURA</v>
      </c>
      <c r="C15" s="544">
        <f>ORÇAMENTO!K33</f>
        <v>1686.95</v>
      </c>
      <c r="D15" s="545">
        <f>C15/$C$25</f>
        <v>2.5272255577161867E-3</v>
      </c>
      <c r="E15" s="407">
        <f>E16*$C15</f>
        <v>0</v>
      </c>
      <c r="F15" s="407">
        <f>F16*$C15</f>
        <v>0</v>
      </c>
      <c r="G15" s="407">
        <f>G16*$C15</f>
        <v>0</v>
      </c>
      <c r="H15" s="407">
        <f t="shared" ref="H15" si="8">H16*$C15</f>
        <v>506.08499999999998</v>
      </c>
      <c r="I15" s="407">
        <f t="shared" ref="I15" si="9">I16*$C15</f>
        <v>337.39000000000004</v>
      </c>
      <c r="J15" s="407">
        <f t="shared" si="0"/>
        <v>337.39000000000004</v>
      </c>
      <c r="K15" s="407">
        <f t="shared" si="0"/>
        <v>506.08499999999998</v>
      </c>
      <c r="L15" s="409">
        <f t="shared" si="1"/>
        <v>1686.95</v>
      </c>
    </row>
    <row r="16" spans="1:18" ht="15" customHeight="1" thickBot="1">
      <c r="A16" s="541"/>
      <c r="B16" s="543"/>
      <c r="C16" s="543"/>
      <c r="D16" s="543"/>
      <c r="E16" s="206">
        <v>0</v>
      </c>
      <c r="F16" s="206">
        <v>0</v>
      </c>
      <c r="G16" s="207">
        <v>0</v>
      </c>
      <c r="H16" s="207">
        <v>0.3</v>
      </c>
      <c r="I16" s="207">
        <v>0.2</v>
      </c>
      <c r="J16" s="207">
        <v>0.2</v>
      </c>
      <c r="K16" s="360">
        <v>0.3</v>
      </c>
      <c r="L16" s="410">
        <f t="shared" si="1"/>
        <v>1</v>
      </c>
    </row>
    <row r="17" spans="1:18" ht="24" customHeight="1">
      <c r="A17" s="540">
        <v>6</v>
      </c>
      <c r="B17" s="542" t="str">
        <f>ORÇAMENTO!C36</f>
        <v>INSTALAÇÕES ELÉTRICAS</v>
      </c>
      <c r="C17" s="544">
        <f>ORÇAMENTO!K36</f>
        <v>454169.30999999994</v>
      </c>
      <c r="D17" s="545">
        <f>C17/$C$25</f>
        <v>0.68039259477893566</v>
      </c>
      <c r="E17" s="407">
        <f>E18*$C17</f>
        <v>0</v>
      </c>
      <c r="F17" s="407">
        <f>F18*$C17</f>
        <v>68125.396499999988</v>
      </c>
      <c r="G17" s="407">
        <f>G18*$C17</f>
        <v>68125.396499999988</v>
      </c>
      <c r="H17" s="407">
        <f t="shared" ref="H17" si="10">H18*$C17</f>
        <v>90833.861999999994</v>
      </c>
      <c r="I17" s="407">
        <f t="shared" ref="I17" si="11">I18*$C17</f>
        <v>90833.861999999994</v>
      </c>
      <c r="J17" s="407">
        <f t="shared" si="0"/>
        <v>68125.396499999988</v>
      </c>
      <c r="K17" s="407">
        <f t="shared" si="0"/>
        <v>68125.396499999988</v>
      </c>
      <c r="L17" s="409">
        <f t="shared" si="1"/>
        <v>454169.30999999994</v>
      </c>
    </row>
    <row r="18" spans="1:18" ht="15" customHeight="1" thickBot="1">
      <c r="A18" s="541"/>
      <c r="B18" s="543"/>
      <c r="C18" s="543"/>
      <c r="D18" s="543"/>
      <c r="E18" s="206">
        <v>0</v>
      </c>
      <c r="F18" s="206">
        <v>0.15</v>
      </c>
      <c r="G18" s="207">
        <v>0.15</v>
      </c>
      <c r="H18" s="207">
        <v>0.2</v>
      </c>
      <c r="I18" s="207">
        <v>0.2</v>
      </c>
      <c r="J18" s="207">
        <v>0.15</v>
      </c>
      <c r="K18" s="360">
        <v>0.15</v>
      </c>
      <c r="L18" s="410">
        <f t="shared" si="1"/>
        <v>1</v>
      </c>
    </row>
    <row r="19" spans="1:18" ht="24.75" customHeight="1">
      <c r="A19" s="540">
        <v>7</v>
      </c>
      <c r="B19" s="542" t="str">
        <f>ORÇAMENTO!C63</f>
        <v xml:space="preserve">PISO </v>
      </c>
      <c r="C19" s="544">
        <f>ORÇAMENTO!K63</f>
        <v>44358.149999999994</v>
      </c>
      <c r="D19" s="545">
        <f>C19/$C$25</f>
        <v>6.6453096044938056E-2</v>
      </c>
      <c r="E19" s="407">
        <f>E20*$C19</f>
        <v>0</v>
      </c>
      <c r="F19" s="407">
        <f>F20*$C19</f>
        <v>0</v>
      </c>
      <c r="G19" s="407">
        <f>G20*$C19</f>
        <v>8871.6299999999992</v>
      </c>
      <c r="H19" s="407">
        <f t="shared" ref="H19" si="12">H20*$C19</f>
        <v>8871.6299999999992</v>
      </c>
      <c r="I19" s="407">
        <f t="shared" ref="I19" si="13">I20*$C19</f>
        <v>8871.6299999999992</v>
      </c>
      <c r="J19" s="407">
        <f t="shared" si="0"/>
        <v>8871.6299999999992</v>
      </c>
      <c r="K19" s="407">
        <f t="shared" si="0"/>
        <v>8871.6299999999992</v>
      </c>
      <c r="L19" s="409">
        <f t="shared" si="1"/>
        <v>44358.149999999994</v>
      </c>
    </row>
    <row r="20" spans="1:18" ht="20.25" customHeight="1" thickBot="1">
      <c r="A20" s="541"/>
      <c r="B20" s="543"/>
      <c r="C20" s="543"/>
      <c r="D20" s="543"/>
      <c r="E20" s="206">
        <v>0</v>
      </c>
      <c r="F20" s="206">
        <v>0</v>
      </c>
      <c r="G20" s="207">
        <v>0.2</v>
      </c>
      <c r="H20" s="207">
        <v>0.2</v>
      </c>
      <c r="I20" s="207">
        <v>0.2</v>
      </c>
      <c r="J20" s="207">
        <v>0.2</v>
      </c>
      <c r="K20" s="360">
        <v>0.2</v>
      </c>
      <c r="L20" s="410">
        <f t="shared" si="1"/>
        <v>1</v>
      </c>
    </row>
    <row r="21" spans="1:18" ht="18.75" customHeight="1">
      <c r="A21" s="540">
        <v>8</v>
      </c>
      <c r="B21" s="542" t="str">
        <f>ORÇAMENTO!C71</f>
        <v>PINTURA</v>
      </c>
      <c r="C21" s="544">
        <f>ORÇAMENTO!K71</f>
        <v>260</v>
      </c>
      <c r="D21" s="545">
        <f>C21/$C$25</f>
        <v>3.8950688817463976E-4</v>
      </c>
      <c r="E21" s="407">
        <f>E22*$C21</f>
        <v>0</v>
      </c>
      <c r="F21" s="407">
        <f>F22*$C21</f>
        <v>0</v>
      </c>
      <c r="G21" s="407">
        <f>G22*$C21</f>
        <v>0</v>
      </c>
      <c r="H21" s="407">
        <f t="shared" ref="H21" si="14">H22*$C21</f>
        <v>0</v>
      </c>
      <c r="I21" s="407">
        <f t="shared" ref="I21" si="15">I22*$C21</f>
        <v>0</v>
      </c>
      <c r="J21" s="407">
        <f t="shared" si="0"/>
        <v>0</v>
      </c>
      <c r="K21" s="407">
        <f t="shared" si="0"/>
        <v>260</v>
      </c>
      <c r="L21" s="409">
        <f t="shared" si="1"/>
        <v>260</v>
      </c>
    </row>
    <row r="22" spans="1:18" ht="22.5" customHeight="1" thickBot="1">
      <c r="A22" s="541"/>
      <c r="B22" s="543"/>
      <c r="C22" s="543"/>
      <c r="D22" s="543"/>
      <c r="E22" s="206">
        <v>0</v>
      </c>
      <c r="F22" s="206">
        <v>0</v>
      </c>
      <c r="G22" s="207">
        <v>0</v>
      </c>
      <c r="H22" s="207">
        <v>0</v>
      </c>
      <c r="I22" s="207">
        <v>0</v>
      </c>
      <c r="J22" s="207">
        <v>0</v>
      </c>
      <c r="K22" s="360">
        <v>1</v>
      </c>
      <c r="L22" s="410">
        <f t="shared" si="1"/>
        <v>1</v>
      </c>
    </row>
    <row r="23" spans="1:18" ht="21.75" customHeight="1">
      <c r="A23" s="540">
        <v>9</v>
      </c>
      <c r="B23" s="542" t="str">
        <f>ORÇAMENTO!C73</f>
        <v>SERVIÇOS COMPLEMENTARES</v>
      </c>
      <c r="C23" s="544">
        <f>ORÇAMENTO!K73</f>
        <v>1390</v>
      </c>
      <c r="D23" s="545">
        <f>C23/$C$25</f>
        <v>2.0823637483182666E-3</v>
      </c>
      <c r="E23" s="407">
        <f t="shared" ref="E23:G23" si="16">E24*$C23</f>
        <v>0</v>
      </c>
      <c r="F23" s="407">
        <f t="shared" si="16"/>
        <v>0</v>
      </c>
      <c r="G23" s="407">
        <f t="shared" si="16"/>
        <v>0</v>
      </c>
      <c r="H23" s="407">
        <f t="shared" ref="H23" si="17">H24*$C23</f>
        <v>0</v>
      </c>
      <c r="I23" s="407">
        <f t="shared" ref="I23:K23" si="18">I24*$C23</f>
        <v>0</v>
      </c>
      <c r="J23" s="407">
        <f t="shared" si="18"/>
        <v>0</v>
      </c>
      <c r="K23" s="407">
        <f t="shared" si="18"/>
        <v>1390</v>
      </c>
      <c r="L23" s="409">
        <f t="shared" si="1"/>
        <v>1390</v>
      </c>
    </row>
    <row r="24" spans="1:18" ht="21" customHeight="1" thickBot="1">
      <c r="A24" s="541"/>
      <c r="B24" s="543"/>
      <c r="C24" s="543"/>
      <c r="D24" s="543"/>
      <c r="E24" s="206">
        <v>0</v>
      </c>
      <c r="F24" s="206">
        <v>0</v>
      </c>
      <c r="G24" s="207">
        <v>0</v>
      </c>
      <c r="H24" s="207">
        <v>0</v>
      </c>
      <c r="I24" s="207">
        <v>0</v>
      </c>
      <c r="J24" s="207">
        <v>0</v>
      </c>
      <c r="K24" s="360">
        <v>1</v>
      </c>
      <c r="L24" s="410">
        <f t="shared" si="1"/>
        <v>1</v>
      </c>
    </row>
    <row r="25" spans="1:18" ht="20.25" customHeight="1">
      <c r="A25" s="549" t="s">
        <v>29</v>
      </c>
      <c r="B25" s="550"/>
      <c r="C25" s="551">
        <f>SUM(C7:C24)</f>
        <v>667510.66</v>
      </c>
      <c r="D25" s="554">
        <f>SUM(D7:D24)</f>
        <v>0.99999999999999989</v>
      </c>
      <c r="E25" s="405">
        <f>E7+E9+E11+E15+E17+E19+E21+E23+E13</f>
        <v>16006.418</v>
      </c>
      <c r="F25" s="405">
        <f t="shared" ref="F25:K25" si="19">F7+F9+F11+F15+F17+F19+F21+F23+F13</f>
        <v>100382.89249999999</v>
      </c>
      <c r="G25" s="405">
        <f t="shared" si="19"/>
        <v>101971.42749999999</v>
      </c>
      <c r="H25" s="405">
        <f t="shared" si="19"/>
        <v>121123.20849999999</v>
      </c>
      <c r="I25" s="405">
        <f t="shared" si="19"/>
        <v>120954.5135</v>
      </c>
      <c r="J25" s="405">
        <f t="shared" si="19"/>
        <v>106689.522</v>
      </c>
      <c r="K25" s="405">
        <f t="shared" si="19"/>
        <v>100382.67799999999</v>
      </c>
      <c r="L25" s="403"/>
    </row>
    <row r="26" spans="1:18" ht="22.5" customHeight="1" thickBot="1">
      <c r="A26" s="555" t="s">
        <v>28</v>
      </c>
      <c r="B26" s="556"/>
      <c r="C26" s="552"/>
      <c r="D26" s="552"/>
      <c r="E26" s="406">
        <f>E25/$C$25</f>
        <v>2.3979269484625157E-2</v>
      </c>
      <c r="F26" s="406">
        <f t="shared" ref="F26:K26" si="20">F25/$C$25</f>
        <v>0.15038395416786299</v>
      </c>
      <c r="G26" s="406">
        <f t="shared" si="20"/>
        <v>0.15276374387788802</v>
      </c>
      <c r="H26" s="406">
        <f t="shared" si="20"/>
        <v>0.18145509241755028</v>
      </c>
      <c r="I26" s="406">
        <f t="shared" si="20"/>
        <v>0.18120236986177868</v>
      </c>
      <c r="J26" s="406">
        <f t="shared" si="20"/>
        <v>0.15983193736561449</v>
      </c>
      <c r="K26" s="406">
        <f t="shared" si="20"/>
        <v>0.15038363282468026</v>
      </c>
      <c r="L26" s="404"/>
    </row>
    <row r="27" spans="1:18" ht="23.25" customHeight="1">
      <c r="A27" s="557" t="s">
        <v>27</v>
      </c>
      <c r="B27" s="558"/>
      <c r="C27" s="552"/>
      <c r="D27" s="552"/>
      <c r="E27" s="402">
        <f>E25</f>
        <v>16006.418</v>
      </c>
      <c r="F27" s="402">
        <f>F25+E27</f>
        <v>116389.31049999999</v>
      </c>
      <c r="G27" s="402">
        <f t="shared" ref="G27:K27" si="21">G25+F27</f>
        <v>218360.73799999998</v>
      </c>
      <c r="H27" s="402">
        <f t="shared" si="21"/>
        <v>339483.94649999996</v>
      </c>
      <c r="I27" s="402">
        <f t="shared" si="21"/>
        <v>460438.45999999996</v>
      </c>
      <c r="J27" s="402">
        <f t="shared" si="21"/>
        <v>567127.98199999996</v>
      </c>
      <c r="K27" s="402">
        <f t="shared" si="21"/>
        <v>667510.65999999992</v>
      </c>
      <c r="L27" s="403"/>
    </row>
    <row r="28" spans="1:18" ht="21" customHeight="1" thickBot="1">
      <c r="A28" s="559" t="s">
        <v>26</v>
      </c>
      <c r="B28" s="560"/>
      <c r="C28" s="553"/>
      <c r="D28" s="553"/>
      <c r="E28" s="404">
        <f>E27/$C$25</f>
        <v>2.3979269484625157E-2</v>
      </c>
      <c r="F28" s="404">
        <f t="shared" ref="F28:K28" si="22">F27/$C$25</f>
        <v>0.17436322365248816</v>
      </c>
      <c r="G28" s="404">
        <f t="shared" si="22"/>
        <v>0.32712696753037618</v>
      </c>
      <c r="H28" s="404">
        <f t="shared" si="22"/>
        <v>0.50858205994792649</v>
      </c>
      <c r="I28" s="404">
        <f t="shared" si="22"/>
        <v>0.68978442980970511</v>
      </c>
      <c r="J28" s="404">
        <f t="shared" si="22"/>
        <v>0.84961636717531963</v>
      </c>
      <c r="K28" s="404">
        <f t="shared" si="22"/>
        <v>0.99999999999999978</v>
      </c>
      <c r="L28" s="404"/>
    </row>
    <row r="29" spans="1:18" ht="15.75" customHeight="1">
      <c r="A29" s="31"/>
      <c r="B29" s="31"/>
      <c r="C29" s="31"/>
      <c r="D29" s="208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 customHeight="1">
      <c r="A30" s="14"/>
      <c r="B30" s="14"/>
      <c r="C30" s="14"/>
      <c r="D30" s="209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501"/>
      <c r="P30" s="496"/>
      <c r="Q30" s="496"/>
      <c r="R30" s="31"/>
    </row>
    <row r="31" spans="1:18" ht="15" customHeight="1">
      <c r="A31" s="31"/>
      <c r="B31" s="31"/>
      <c r="C31" s="561"/>
      <c r="D31" s="49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547"/>
      <c r="P31" s="496"/>
      <c r="Q31" s="496"/>
      <c r="R31" s="31"/>
    </row>
    <row r="32" spans="1:18" ht="15" customHeight="1">
      <c r="A32" s="31"/>
      <c r="B32" s="31"/>
      <c r="C32" s="31"/>
      <c r="D32" s="20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547"/>
      <c r="P32" s="496"/>
      <c r="Q32" s="496"/>
      <c r="R32" s="31"/>
    </row>
    <row r="33" spans="1:18" ht="15" customHeight="1">
      <c r="A33" s="31"/>
      <c r="B33" s="31"/>
      <c r="C33" s="31"/>
      <c r="D33" s="20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547"/>
      <c r="P33" s="496"/>
      <c r="Q33" s="496"/>
      <c r="R33" s="31"/>
    </row>
    <row r="34" spans="1:18" ht="15.75" customHeight="1">
      <c r="A34" s="31"/>
      <c r="B34" s="31"/>
      <c r="C34" s="31"/>
      <c r="D34" s="208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5.75" customHeight="1">
      <c r="A35" s="31"/>
      <c r="B35" s="31"/>
      <c r="C35" s="31"/>
      <c r="D35" s="20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5.75" customHeight="1">
      <c r="A36" s="31"/>
      <c r="B36" s="31"/>
      <c r="C36" s="31"/>
      <c r="D36" s="208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5" customHeight="1">
      <c r="A37" s="31"/>
      <c r="B37" s="31"/>
      <c r="C37" s="548">
        <f>C25/12</f>
        <v>55625.888333333336</v>
      </c>
      <c r="D37" s="496"/>
      <c r="E37" s="496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5.75" customHeight="1">
      <c r="A38" s="31"/>
      <c r="B38" s="31"/>
      <c r="C38" s="31"/>
      <c r="D38" s="20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5.75" customHeight="1">
      <c r="A39" s="31"/>
      <c r="B39" s="31"/>
      <c r="C39" s="31"/>
      <c r="D39" s="208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5.75" customHeight="1">
      <c r="A40" s="31"/>
      <c r="B40" s="31"/>
      <c r="C40" s="31"/>
      <c r="D40" s="208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5.75" customHeight="1">
      <c r="A41" s="31"/>
      <c r="B41" s="31"/>
      <c r="C41" s="31"/>
      <c r="D41" s="208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5.75" customHeight="1">
      <c r="A42" s="31"/>
      <c r="B42" s="31"/>
      <c r="C42" s="31"/>
      <c r="D42" s="208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5.75" customHeight="1">
      <c r="A43" s="31"/>
      <c r="B43" s="31"/>
      <c r="C43" s="31"/>
      <c r="D43" s="208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5.75" customHeight="1">
      <c r="A44" s="31"/>
      <c r="B44" s="31"/>
      <c r="C44" s="31"/>
      <c r="D44" s="208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5.75" customHeight="1">
      <c r="A45" s="31"/>
      <c r="B45" s="31"/>
      <c r="C45" s="31"/>
      <c r="D45" s="208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5.75" customHeight="1">
      <c r="A46" s="31"/>
      <c r="B46" s="31"/>
      <c r="C46" s="31"/>
      <c r="D46" s="208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5.75" customHeight="1">
      <c r="A47" s="31"/>
      <c r="B47" s="31"/>
      <c r="C47" s="31"/>
      <c r="D47" s="20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5.75" customHeight="1">
      <c r="A48" s="31"/>
      <c r="B48" s="31"/>
      <c r="C48" s="31"/>
      <c r="D48" s="20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5.75" customHeight="1">
      <c r="A49" s="31"/>
      <c r="B49" s="31"/>
      <c r="C49" s="31"/>
      <c r="D49" s="208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5.75" customHeight="1">
      <c r="A50" s="31"/>
      <c r="B50" s="31"/>
      <c r="C50" s="31"/>
      <c r="D50" s="208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mergeCells count="52">
    <mergeCell ref="A7:A8"/>
    <mergeCell ref="B7:B8"/>
    <mergeCell ref="A11:A12"/>
    <mergeCell ref="B11:B12"/>
    <mergeCell ref="C11:C12"/>
    <mergeCell ref="D11:D12"/>
    <mergeCell ref="B9:B10"/>
    <mergeCell ref="C9:C10"/>
    <mergeCell ref="D9:D10"/>
    <mergeCell ref="O31:Q31"/>
    <mergeCell ref="D23:D24"/>
    <mergeCell ref="O32:Q32"/>
    <mergeCell ref="O33:Q33"/>
    <mergeCell ref="C37:E37"/>
    <mergeCell ref="A25:B25"/>
    <mergeCell ref="C25:C28"/>
    <mergeCell ref="D25:D28"/>
    <mergeCell ref="A26:B26"/>
    <mergeCell ref="A27:B27"/>
    <mergeCell ref="A28:B28"/>
    <mergeCell ref="C31:D31"/>
    <mergeCell ref="O30:Q30"/>
    <mergeCell ref="A17:A18"/>
    <mergeCell ref="B17:B18"/>
    <mergeCell ref="D13:D14"/>
    <mergeCell ref="A23:A24"/>
    <mergeCell ref="B23:B24"/>
    <mergeCell ref="C23:C24"/>
    <mergeCell ref="B15:B16"/>
    <mergeCell ref="C15:C16"/>
    <mergeCell ref="D15:D16"/>
    <mergeCell ref="A13:A14"/>
    <mergeCell ref="B13:B14"/>
    <mergeCell ref="C13:C14"/>
    <mergeCell ref="D19:D20"/>
    <mergeCell ref="A15:A16"/>
    <mergeCell ref="A1:L1"/>
    <mergeCell ref="A2:L2"/>
    <mergeCell ref="A5:L5"/>
    <mergeCell ref="A21:A22"/>
    <mergeCell ref="B21:B22"/>
    <mergeCell ref="C21:C22"/>
    <mergeCell ref="D21:D22"/>
    <mergeCell ref="C17:C18"/>
    <mergeCell ref="D17:D18"/>
    <mergeCell ref="A19:A20"/>
    <mergeCell ref="B19:B20"/>
    <mergeCell ref="C19:C20"/>
    <mergeCell ref="C7:C8"/>
    <mergeCell ref="D7:D8"/>
    <mergeCell ref="A9:A10"/>
    <mergeCell ref="B4:L4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0"/>
  <sheetViews>
    <sheetView showGridLines="0" zoomScaleNormal="100" workbookViewId="0">
      <selection activeCell="A4" sqref="A4:M4"/>
    </sheetView>
  </sheetViews>
  <sheetFormatPr defaultColWidth="11" defaultRowHeight="15" customHeight="1"/>
  <cols>
    <col min="1" max="1" width="6" style="11" customWidth="1"/>
    <col min="2" max="2" width="53.5" style="11" customWidth="1"/>
    <col min="3" max="3" width="5" style="11" customWidth="1"/>
    <col min="4" max="4" width="7.375" style="11" customWidth="1"/>
    <col min="5" max="5" width="4" style="11" customWidth="1"/>
    <col min="6" max="6" width="6.625" style="11" bestFit="1" customWidth="1"/>
    <col min="7" max="7" width="6.375" style="11" customWidth="1"/>
    <col min="8" max="9" width="8" style="11" customWidth="1"/>
    <col min="10" max="10" width="7.5" style="11" customWidth="1"/>
    <col min="11" max="11" width="17.375" style="11" customWidth="1"/>
    <col min="12" max="16384" width="11" style="11"/>
  </cols>
  <sheetData>
    <row r="1" spans="1:11" ht="15.75" customHeight="1">
      <c r="A1" s="27"/>
      <c r="B1" s="499" t="s">
        <v>81</v>
      </c>
      <c r="C1" s="496"/>
      <c r="D1" s="496"/>
      <c r="E1" s="496"/>
      <c r="F1" s="496"/>
      <c r="G1" s="496"/>
      <c r="H1" s="27"/>
      <c r="I1" s="31"/>
      <c r="J1" s="31"/>
      <c r="K1" s="31"/>
    </row>
    <row r="2" spans="1:11" ht="15.75" customHeight="1">
      <c r="A2" s="30"/>
      <c r="B2" s="500" t="s">
        <v>82</v>
      </c>
      <c r="C2" s="496"/>
      <c r="D2" s="496"/>
      <c r="E2" s="496"/>
      <c r="F2" s="496"/>
      <c r="G2" s="496"/>
      <c r="H2" s="30"/>
      <c r="I2" s="31"/>
      <c r="J2" s="31"/>
      <c r="K2" s="31"/>
    </row>
    <row r="3" spans="1:11" ht="15.75" customHeight="1">
      <c r="A3" s="30"/>
      <c r="B3" s="500" t="s">
        <v>19</v>
      </c>
      <c r="C3" s="496"/>
      <c r="D3" s="496"/>
      <c r="E3" s="496"/>
      <c r="F3" s="496"/>
      <c r="G3" s="496"/>
      <c r="H3" s="30"/>
      <c r="I3" s="31"/>
      <c r="J3" s="31"/>
      <c r="K3" s="31"/>
    </row>
    <row r="4" spans="1:11" ht="15.75" customHeight="1">
      <c r="A4" s="501" t="s">
        <v>83</v>
      </c>
      <c r="B4" s="502"/>
      <c r="C4" s="502"/>
      <c r="D4" s="502"/>
      <c r="E4" s="502"/>
      <c r="F4" s="502"/>
      <c r="G4" s="502"/>
      <c r="H4" s="16"/>
      <c r="I4" s="31"/>
      <c r="J4" s="31"/>
      <c r="K4" s="31"/>
    </row>
    <row r="5" spans="1:11" ht="15.75" customHeight="1">
      <c r="A5" s="568" t="s">
        <v>542</v>
      </c>
      <c r="B5" s="568"/>
      <c r="C5" s="568"/>
      <c r="D5" s="568"/>
      <c r="E5" s="568"/>
      <c r="F5" s="568"/>
      <c r="G5" s="568"/>
      <c r="H5" s="31"/>
      <c r="I5" s="31"/>
      <c r="J5" s="31"/>
      <c r="K5" s="31"/>
    </row>
    <row r="6" spans="1:11" ht="32.25" customHeight="1">
      <c r="A6" s="564" t="s">
        <v>64</v>
      </c>
      <c r="B6" s="565"/>
      <c r="C6" s="565"/>
      <c r="D6" s="565"/>
      <c r="E6" s="565"/>
      <c r="F6" s="565"/>
      <c r="G6" s="566"/>
      <c r="H6" s="31"/>
      <c r="I6" s="31"/>
      <c r="J6" s="31"/>
      <c r="K6" s="31"/>
    </row>
    <row r="7" spans="1:11" ht="33.75" customHeight="1">
      <c r="A7" s="175"/>
      <c r="B7" s="159" t="s">
        <v>63</v>
      </c>
      <c r="C7" s="175"/>
      <c r="D7" s="567" t="s">
        <v>62</v>
      </c>
      <c r="E7" s="528"/>
      <c r="F7" s="567" t="s">
        <v>61</v>
      </c>
      <c r="G7" s="528"/>
      <c r="H7" s="29"/>
      <c r="I7" s="29"/>
      <c r="J7" s="29"/>
      <c r="K7" s="29"/>
    </row>
    <row r="8" spans="1:11" ht="15" customHeight="1">
      <c r="A8" s="176">
        <v>1</v>
      </c>
      <c r="B8" s="177" t="s">
        <v>60</v>
      </c>
      <c r="C8" s="176" t="s">
        <v>59</v>
      </c>
      <c r="D8" s="178">
        <v>3</v>
      </c>
      <c r="E8" s="179" t="s">
        <v>30</v>
      </c>
      <c r="F8" s="178">
        <v>1.5</v>
      </c>
      <c r="G8" s="179" t="s">
        <v>30</v>
      </c>
      <c r="H8" s="31"/>
      <c r="I8" s="180"/>
      <c r="J8" s="31"/>
      <c r="K8" s="31"/>
    </row>
    <row r="9" spans="1:11" ht="15" customHeight="1">
      <c r="A9" s="176">
        <v>2</v>
      </c>
      <c r="B9" s="177" t="s">
        <v>58</v>
      </c>
      <c r="C9" s="176" t="s">
        <v>57</v>
      </c>
      <c r="D9" s="178">
        <v>0.59</v>
      </c>
      <c r="E9" s="179" t="s">
        <v>30</v>
      </c>
      <c r="F9" s="178">
        <v>0.85</v>
      </c>
      <c r="G9" s="179" t="s">
        <v>30</v>
      </c>
      <c r="H9" s="31"/>
      <c r="I9" s="180"/>
      <c r="J9" s="31"/>
      <c r="K9" s="31"/>
    </row>
    <row r="10" spans="1:11" ht="15" customHeight="1">
      <c r="A10" s="176">
        <v>3</v>
      </c>
      <c r="B10" s="177" t="s">
        <v>56</v>
      </c>
      <c r="C10" s="176" t="s">
        <v>55</v>
      </c>
      <c r="D10" s="178">
        <v>0.8</v>
      </c>
      <c r="E10" s="179" t="s">
        <v>30</v>
      </c>
      <c r="F10" s="178">
        <v>0.3</v>
      </c>
      <c r="G10" s="179" t="s">
        <v>30</v>
      </c>
      <c r="H10" s="31"/>
      <c r="I10" s="180"/>
      <c r="J10" s="31"/>
      <c r="K10" s="31"/>
    </row>
    <row r="11" spans="1:11" ht="15" customHeight="1">
      <c r="A11" s="176">
        <v>4</v>
      </c>
      <c r="B11" s="177" t="s">
        <v>54</v>
      </c>
      <c r="C11" s="176" t="s">
        <v>53</v>
      </c>
      <c r="D11" s="178">
        <v>0.97</v>
      </c>
      <c r="E11" s="179" t="s">
        <v>30</v>
      </c>
      <c r="F11" s="178">
        <v>0.56000000000000005</v>
      </c>
      <c r="G11" s="179" t="s">
        <v>30</v>
      </c>
      <c r="H11" s="31"/>
      <c r="I11" s="180"/>
      <c r="J11" s="31"/>
      <c r="K11" s="31"/>
    </row>
    <row r="12" spans="1:11" ht="15" customHeight="1">
      <c r="A12" s="176">
        <v>5</v>
      </c>
      <c r="B12" s="177" t="s">
        <v>52</v>
      </c>
      <c r="C12" s="176" t="s">
        <v>51</v>
      </c>
      <c r="D12" s="178">
        <v>6.16</v>
      </c>
      <c r="E12" s="179" t="s">
        <v>30</v>
      </c>
      <c r="F12" s="178">
        <v>3.5</v>
      </c>
      <c r="G12" s="179" t="s">
        <v>30</v>
      </c>
      <c r="H12" s="31"/>
      <c r="I12" s="180"/>
      <c r="J12" s="31"/>
      <c r="K12" s="31"/>
    </row>
    <row r="13" spans="1:11" ht="31.5">
      <c r="A13" s="176">
        <v>6</v>
      </c>
      <c r="B13" s="160" t="s">
        <v>281</v>
      </c>
      <c r="C13" s="176" t="s">
        <v>50</v>
      </c>
      <c r="D13" s="181">
        <f>SUM(D14:D17)</f>
        <v>13.15</v>
      </c>
      <c r="E13" s="182" t="s">
        <v>30</v>
      </c>
      <c r="F13" s="181">
        <f>SUM(F14:F17)</f>
        <v>3.65</v>
      </c>
      <c r="G13" s="182" t="s">
        <v>30</v>
      </c>
      <c r="H13" s="31"/>
      <c r="I13" s="180"/>
      <c r="J13" s="31"/>
      <c r="K13" s="31"/>
    </row>
    <row r="14" spans="1:11" ht="15" customHeight="1">
      <c r="A14" s="176" t="s">
        <v>12</v>
      </c>
      <c r="B14" s="183" t="s">
        <v>49</v>
      </c>
      <c r="C14" s="176" t="s">
        <v>48</v>
      </c>
      <c r="D14" s="178">
        <v>3</v>
      </c>
      <c r="E14" s="179" t="s">
        <v>30</v>
      </c>
      <c r="F14" s="178">
        <v>3</v>
      </c>
      <c r="G14" s="179" t="s">
        <v>30</v>
      </c>
      <c r="H14" s="31"/>
      <c r="I14" s="180"/>
      <c r="J14" s="31"/>
      <c r="K14" s="31"/>
    </row>
    <row r="15" spans="1:11" ht="15" customHeight="1">
      <c r="A15" s="176" t="s">
        <v>13</v>
      </c>
      <c r="B15" s="183" t="s">
        <v>47</v>
      </c>
      <c r="C15" s="176" t="s">
        <v>46</v>
      </c>
      <c r="D15" s="178">
        <v>5</v>
      </c>
      <c r="E15" s="179" t="s">
        <v>30</v>
      </c>
      <c r="F15" s="178">
        <v>0</v>
      </c>
      <c r="G15" s="179" t="s">
        <v>30</v>
      </c>
      <c r="H15" s="31"/>
      <c r="I15" s="180"/>
      <c r="J15" s="31"/>
      <c r="K15" s="227">
        <f>((1+D8+D11+D10)*(1+D9)*(1+D12))</f>
        <v>65.68798799999999</v>
      </c>
    </row>
    <row r="16" spans="1:11" ht="15" customHeight="1">
      <c r="A16" s="176" t="s">
        <v>14</v>
      </c>
      <c r="B16" s="183" t="s">
        <v>45</v>
      </c>
      <c r="C16" s="176" t="s">
        <v>44</v>
      </c>
      <c r="D16" s="178">
        <v>0.65</v>
      </c>
      <c r="E16" s="179" t="s">
        <v>30</v>
      </c>
      <c r="F16" s="178">
        <v>0.65</v>
      </c>
      <c r="G16" s="179" t="s">
        <v>30</v>
      </c>
      <c r="H16" s="31"/>
      <c r="I16" s="180"/>
      <c r="J16" s="31"/>
      <c r="K16" s="228">
        <f>100-D13</f>
        <v>86.85</v>
      </c>
    </row>
    <row r="17" spans="1:11" ht="31.5">
      <c r="A17" s="176" t="s">
        <v>15</v>
      </c>
      <c r="B17" s="225" t="s">
        <v>282</v>
      </c>
      <c r="C17" s="176" t="s">
        <v>43</v>
      </c>
      <c r="D17" s="178">
        <v>4.5</v>
      </c>
      <c r="E17" s="179" t="s">
        <v>30</v>
      </c>
      <c r="F17" s="178">
        <v>0</v>
      </c>
      <c r="G17" s="179" t="s">
        <v>30</v>
      </c>
      <c r="H17" s="31"/>
      <c r="I17" s="180"/>
      <c r="J17" s="31"/>
      <c r="K17" s="31">
        <f>K15/K16</f>
        <v>0.75633837651122615</v>
      </c>
    </row>
    <row r="18" spans="1:11" ht="15" customHeight="1">
      <c r="A18" s="184"/>
      <c r="B18" s="185" t="s">
        <v>42</v>
      </c>
      <c r="C18" s="184"/>
      <c r="D18" s="181">
        <f>((((1+(D8+D10+D11)/100)*(1+(D9/100))*(1+(D12)/100))/(1-(D13/100)))-1)*100</f>
        <v>28.819864834542329</v>
      </c>
      <c r="E18" s="179" t="s">
        <v>30</v>
      </c>
      <c r="F18" s="181">
        <f>((((1+(F8+F10+F11)/100)*(1+(F9/100))*(1+(F12)/100))/(1-(F13/100)))-1)*100</f>
        <v>10.890619719771678</v>
      </c>
      <c r="G18" s="182" t="s">
        <v>30</v>
      </c>
      <c r="H18" s="226"/>
      <c r="I18" s="187"/>
      <c r="J18" s="186"/>
      <c r="K18" s="186">
        <f>K17-1</f>
        <v>-0.24366162348877385</v>
      </c>
    </row>
    <row r="19" spans="1:11" ht="15" customHeight="1">
      <c r="A19" s="188"/>
      <c r="B19" s="189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1:11" ht="12" customHeight="1">
      <c r="A20" s="188"/>
      <c r="B20" s="189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1" ht="30" customHeight="1">
      <c r="A21" s="562"/>
      <c r="B21" s="496"/>
      <c r="C21" s="496"/>
      <c r="D21" s="496"/>
      <c r="E21" s="496"/>
      <c r="F21" s="496"/>
      <c r="G21" s="496"/>
      <c r="H21" s="189"/>
      <c r="I21" s="189"/>
      <c r="J21" s="189"/>
      <c r="K21" s="189"/>
    </row>
    <row r="22" spans="1:11" ht="15" customHeight="1">
      <c r="A22" s="189" t="s">
        <v>283</v>
      </c>
      <c r="B22" s="189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11" ht="15" customHeight="1">
      <c r="A23" s="189" t="s">
        <v>41</v>
      </c>
      <c r="B23" s="189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ht="15" customHeight="1">
      <c r="A24" s="189" t="s">
        <v>40</v>
      </c>
      <c r="B24" s="189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1:11" ht="15" customHeight="1">
      <c r="A25" s="189" t="s">
        <v>39</v>
      </c>
      <c r="B25" s="189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1" ht="15" customHeight="1">
      <c r="A26" s="189" t="s">
        <v>38</v>
      </c>
      <c r="B26" s="189"/>
      <c r="C26" s="186"/>
      <c r="D26" s="186"/>
      <c r="E26" s="186"/>
      <c r="F26" s="186"/>
      <c r="G26" s="186"/>
      <c r="H26" s="186"/>
      <c r="I26" s="186"/>
      <c r="J26" s="186"/>
      <c r="K26" s="186"/>
    </row>
    <row r="27" spans="1:11" ht="15" customHeight="1">
      <c r="A27" s="189" t="s">
        <v>37</v>
      </c>
      <c r="B27" s="189"/>
      <c r="C27" s="186"/>
      <c r="D27" s="186"/>
      <c r="E27" s="186"/>
      <c r="F27" s="186"/>
      <c r="G27" s="186"/>
      <c r="H27" s="186"/>
      <c r="I27" s="186"/>
      <c r="J27" s="186"/>
      <c r="K27" s="186"/>
    </row>
    <row r="28" spans="1:11" ht="15" customHeight="1">
      <c r="A28" s="189" t="s">
        <v>36</v>
      </c>
      <c r="B28" s="189"/>
      <c r="C28" s="186"/>
      <c r="D28" s="186"/>
      <c r="E28" s="186"/>
      <c r="F28" s="186"/>
      <c r="G28" s="186"/>
      <c r="H28" s="186"/>
      <c r="I28" s="186"/>
      <c r="J28" s="186"/>
      <c r="K28" s="186"/>
    </row>
    <row r="29" spans="1:11" ht="15" customHeight="1">
      <c r="A29" s="189" t="s">
        <v>35</v>
      </c>
      <c r="B29" s="189"/>
      <c r="C29" s="186"/>
      <c r="D29" s="186"/>
      <c r="E29" s="186"/>
      <c r="F29" s="186"/>
      <c r="G29" s="186"/>
      <c r="H29" s="186"/>
      <c r="I29" s="186"/>
      <c r="J29" s="186"/>
      <c r="K29" s="186"/>
    </row>
    <row r="30" spans="1:11" ht="15" customHeight="1">
      <c r="A30" s="189" t="s">
        <v>34</v>
      </c>
      <c r="B30" s="189"/>
      <c r="C30" s="186"/>
      <c r="D30" s="186"/>
      <c r="E30" s="186"/>
      <c r="F30" s="186"/>
      <c r="G30" s="186"/>
      <c r="H30" s="186"/>
      <c r="I30" s="186"/>
      <c r="J30" s="186"/>
      <c r="K30" s="186"/>
    </row>
    <row r="31" spans="1:11" ht="15" customHeight="1">
      <c r="A31" s="188"/>
      <c r="B31" s="189"/>
      <c r="C31" s="186"/>
      <c r="D31" s="186"/>
      <c r="E31" s="186"/>
      <c r="F31" s="186"/>
      <c r="G31" s="186"/>
      <c r="H31" s="186"/>
      <c r="I31" s="186"/>
      <c r="J31" s="186"/>
      <c r="K31" s="186"/>
    </row>
    <row r="32" spans="1:11" ht="15" customHeight="1">
      <c r="A32" s="188"/>
      <c r="B32" s="28" t="s">
        <v>284</v>
      </c>
      <c r="C32" s="31"/>
      <c r="D32" s="31"/>
      <c r="E32" s="186"/>
      <c r="F32" s="186"/>
      <c r="G32" s="186"/>
      <c r="H32" s="186"/>
      <c r="I32" s="186"/>
      <c r="J32" s="186"/>
      <c r="K32" s="186"/>
    </row>
    <row r="33" spans="1:11" ht="11.25" customHeight="1">
      <c r="A33" s="188"/>
      <c r="B33" s="28"/>
      <c r="C33" s="31"/>
      <c r="D33" s="31"/>
      <c r="E33" s="186"/>
      <c r="F33" s="186"/>
      <c r="G33" s="186"/>
      <c r="H33" s="186"/>
      <c r="I33" s="186"/>
      <c r="J33" s="186"/>
      <c r="K33" s="186"/>
    </row>
    <row r="34" spans="1:11" ht="0.75" customHeight="1">
      <c r="A34" s="188"/>
      <c r="B34" s="189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ht="81.75" customHeight="1">
      <c r="A35" s="563" t="s">
        <v>285</v>
      </c>
      <c r="B35" s="496"/>
      <c r="C35" s="496"/>
      <c r="D35" s="496"/>
      <c r="E35" s="496"/>
      <c r="F35" s="496"/>
      <c r="G35" s="496"/>
      <c r="H35" s="28"/>
      <c r="I35" s="28"/>
      <c r="J35" s="28"/>
      <c r="K35" s="28"/>
    </row>
    <row r="36" spans="1:11" ht="57.75" customHeight="1">
      <c r="A36" s="563" t="s">
        <v>286</v>
      </c>
      <c r="B36" s="496"/>
      <c r="C36" s="496"/>
      <c r="D36" s="496"/>
      <c r="E36" s="496"/>
      <c r="F36" s="496"/>
      <c r="G36" s="496"/>
      <c r="H36" s="28"/>
      <c r="I36" s="28"/>
      <c r="J36" s="28"/>
      <c r="K36" s="28"/>
    </row>
    <row r="37" spans="1:11" ht="33.75" customHeight="1">
      <c r="A37" s="15"/>
      <c r="B37" s="15"/>
      <c r="C37" s="15"/>
      <c r="D37" s="15"/>
      <c r="E37" s="15"/>
      <c r="F37" s="15"/>
      <c r="G37" s="15"/>
      <c r="H37" s="28"/>
      <c r="I37" s="28"/>
      <c r="J37" s="28"/>
      <c r="K37" s="28"/>
    </row>
    <row r="38" spans="1:11" ht="15.75" customHeight="1">
      <c r="A38" s="31"/>
      <c r="B38" s="173"/>
      <c r="C38" s="31"/>
      <c r="D38" s="264" t="s">
        <v>535</v>
      </c>
      <c r="E38" s="29"/>
      <c r="F38" s="29"/>
      <c r="G38" s="29"/>
      <c r="H38" s="31"/>
      <c r="I38" s="31"/>
      <c r="J38" s="31"/>
      <c r="K38" s="31"/>
    </row>
    <row r="39" spans="1:11" ht="15.75" customHeight="1">
      <c r="A39" s="31"/>
      <c r="B39" s="190" t="s">
        <v>287</v>
      </c>
      <c r="C39" s="188"/>
      <c r="D39" s="188"/>
      <c r="E39" s="29"/>
      <c r="F39" s="29"/>
      <c r="G39" s="29"/>
      <c r="H39" s="31"/>
      <c r="I39" s="31"/>
      <c r="J39" s="31"/>
      <c r="K39" s="31"/>
    </row>
    <row r="40" spans="1:11" ht="15.75" customHeight="1">
      <c r="A40" s="31"/>
      <c r="B40" s="190" t="s">
        <v>295</v>
      </c>
      <c r="C40" s="174"/>
      <c r="D40" s="174"/>
      <c r="E40" s="29"/>
      <c r="F40" s="29"/>
      <c r="G40" s="29"/>
      <c r="H40" s="31"/>
      <c r="I40" s="31"/>
      <c r="J40" s="31"/>
      <c r="K40" s="31"/>
    </row>
    <row r="41" spans="1:11" ht="15.75" customHeight="1">
      <c r="A41" s="31"/>
      <c r="B41" s="190" t="s">
        <v>296</v>
      </c>
      <c r="C41" s="174"/>
      <c r="D41" s="174"/>
      <c r="E41" s="29"/>
      <c r="F41" s="29"/>
      <c r="G41" s="29"/>
      <c r="H41" s="31"/>
      <c r="I41" s="31"/>
      <c r="J41" s="31"/>
      <c r="K41" s="31"/>
    </row>
    <row r="42" spans="1:11" ht="15.75" customHeight="1">
      <c r="A42" s="31"/>
      <c r="B42" s="190" t="s">
        <v>297</v>
      </c>
      <c r="C42" s="174"/>
      <c r="D42" s="174"/>
      <c r="E42" s="191"/>
      <c r="F42" s="186"/>
      <c r="G42" s="189"/>
      <c r="H42" s="31"/>
      <c r="I42" s="31"/>
      <c r="J42" s="31"/>
      <c r="K42" s="31"/>
    </row>
    <row r="43" spans="1:11" ht="15.75" customHeight="1">
      <c r="A43" s="31"/>
      <c r="B43" s="190"/>
      <c r="C43" s="174"/>
      <c r="D43" s="174"/>
      <c r="E43" s="192"/>
      <c r="F43" s="31"/>
      <c r="G43" s="28"/>
      <c r="H43" s="31"/>
      <c r="I43" s="31"/>
      <c r="J43" s="31"/>
      <c r="K43" s="31"/>
    </row>
    <row r="44" spans="1:11" ht="15.75" customHeight="1">
      <c r="A44" s="31"/>
      <c r="B44" s="190"/>
      <c r="C44" s="174"/>
      <c r="D44" s="174"/>
      <c r="E44" s="192"/>
      <c r="F44" s="31"/>
      <c r="G44" s="28"/>
      <c r="H44" s="31"/>
      <c r="I44" s="31"/>
      <c r="J44" s="31"/>
      <c r="K44" s="31"/>
    </row>
    <row r="45" spans="1:11" ht="15.75" customHeight="1">
      <c r="A45" s="31"/>
      <c r="B45" s="29"/>
      <c r="C45" s="193"/>
      <c r="D45" s="193"/>
      <c r="E45" s="192"/>
      <c r="F45" s="31"/>
      <c r="G45" s="28"/>
      <c r="H45" s="31"/>
      <c r="I45" s="31"/>
      <c r="J45" s="31"/>
      <c r="K45" s="31"/>
    </row>
    <row r="46" spans="1:11" ht="15.75" customHeight="1">
      <c r="A46" s="31"/>
      <c r="B46" s="29"/>
      <c r="C46" s="174"/>
      <c r="D46" s="174"/>
      <c r="E46" s="174"/>
      <c r="F46" s="174"/>
      <c r="G46" s="174"/>
      <c r="H46" s="31"/>
      <c r="I46" s="31"/>
      <c r="J46" s="31"/>
      <c r="K46" s="31"/>
    </row>
    <row r="47" spans="1:11" ht="15.75" customHeight="1">
      <c r="A47" s="31"/>
      <c r="B47" s="29"/>
      <c r="C47" s="194"/>
      <c r="D47" s="194"/>
      <c r="E47" s="194"/>
      <c r="F47" s="194"/>
      <c r="G47" s="194"/>
      <c r="H47" s="31"/>
      <c r="I47" s="31"/>
      <c r="J47" s="31"/>
      <c r="K47" s="31"/>
    </row>
    <row r="48" spans="1:11" ht="15.75" customHeight="1">
      <c r="A48" s="31"/>
      <c r="B48" s="189"/>
      <c r="C48" s="194"/>
      <c r="D48" s="194"/>
      <c r="E48" s="194"/>
      <c r="F48" s="194"/>
      <c r="G48" s="194"/>
      <c r="H48" s="31"/>
      <c r="I48" s="31"/>
      <c r="J48" s="31"/>
      <c r="K48" s="31"/>
    </row>
    <row r="49" spans="1:11" ht="15.75" customHeight="1">
      <c r="A49" s="31"/>
      <c r="B49" s="31"/>
      <c r="C49" s="194"/>
      <c r="D49" s="194"/>
      <c r="E49" s="194"/>
      <c r="F49" s="194"/>
      <c r="G49" s="194"/>
      <c r="H49" s="31"/>
      <c r="I49" s="31"/>
      <c r="J49" s="31"/>
      <c r="K49" s="31"/>
    </row>
    <row r="50" spans="1:11" ht="15.75" customHeight="1">
      <c r="A50" s="31"/>
      <c r="B50" s="31"/>
      <c r="C50" s="193"/>
      <c r="D50" s="193"/>
      <c r="E50" s="192"/>
      <c r="F50" s="31"/>
      <c r="G50" s="28"/>
      <c r="H50" s="31"/>
      <c r="I50" s="31"/>
      <c r="J50" s="31"/>
      <c r="K50" s="31"/>
    </row>
    <row r="51" spans="1:11" ht="15.75" customHeight="1">
      <c r="A51" s="31"/>
      <c r="B51" s="31"/>
      <c r="C51" s="193"/>
      <c r="D51" s="193"/>
      <c r="E51" s="192"/>
      <c r="F51" s="31"/>
      <c r="G51" s="28"/>
      <c r="H51" s="31"/>
      <c r="I51" s="31"/>
      <c r="J51" s="31"/>
      <c r="K51" s="31"/>
    </row>
    <row r="52" spans="1:11" ht="15.75" customHeight="1">
      <c r="A52" s="31"/>
      <c r="B52" s="174"/>
      <c r="C52" s="193"/>
      <c r="D52" s="193"/>
      <c r="E52" s="192"/>
      <c r="F52" s="31"/>
      <c r="G52" s="28"/>
      <c r="H52" s="31"/>
      <c r="I52" s="31"/>
      <c r="J52" s="31"/>
      <c r="K52" s="31"/>
    </row>
    <row r="53" spans="1:11" ht="15.75" customHeight="1">
      <c r="A53" s="31"/>
      <c r="B53" s="194"/>
      <c r="C53" s="193"/>
      <c r="D53" s="193"/>
      <c r="E53" s="192"/>
      <c r="F53" s="31"/>
      <c r="G53" s="28"/>
      <c r="H53" s="31"/>
      <c r="I53" s="31"/>
      <c r="J53" s="31"/>
      <c r="K53" s="31"/>
    </row>
    <row r="54" spans="1:11" ht="15.75" customHeight="1">
      <c r="A54" s="31"/>
      <c r="B54" s="194"/>
      <c r="C54" s="193"/>
      <c r="D54" s="193"/>
      <c r="E54" s="192"/>
      <c r="F54" s="31"/>
      <c r="G54" s="28"/>
      <c r="H54" s="31"/>
      <c r="I54" s="31"/>
      <c r="J54" s="31"/>
      <c r="K54" s="31"/>
    </row>
    <row r="55" spans="1:11" ht="15.75" customHeight="1">
      <c r="A55" s="31"/>
      <c r="B55" s="194"/>
      <c r="C55" s="193"/>
      <c r="D55" s="193"/>
      <c r="E55" s="192"/>
      <c r="F55" s="31"/>
      <c r="G55" s="28"/>
      <c r="H55" s="31"/>
      <c r="I55" s="31"/>
      <c r="J55" s="31"/>
      <c r="K55" s="31"/>
    </row>
    <row r="56" spans="1:11" ht="15.75" customHeight="1">
      <c r="A56" s="31"/>
      <c r="B56" s="31"/>
      <c r="C56" s="193"/>
      <c r="D56" s="193"/>
      <c r="E56" s="192"/>
      <c r="F56" s="31"/>
      <c r="G56" s="28"/>
      <c r="H56" s="31"/>
      <c r="I56" s="31"/>
      <c r="J56" s="31"/>
      <c r="K56" s="31"/>
    </row>
    <row r="57" spans="1:11" ht="15.75" customHeight="1">
      <c r="A57" s="31"/>
      <c r="B57" s="31"/>
      <c r="C57" s="193"/>
      <c r="D57" s="193"/>
      <c r="E57" s="192"/>
      <c r="F57" s="31"/>
      <c r="G57" s="28"/>
      <c r="H57" s="31"/>
      <c r="I57" s="31"/>
      <c r="J57" s="31"/>
      <c r="K57" s="31"/>
    </row>
    <row r="58" spans="1:11" ht="15.75" customHeight="1">
      <c r="A58" s="31"/>
      <c r="B58" s="31"/>
      <c r="C58" s="193"/>
      <c r="D58" s="193"/>
      <c r="E58" s="192"/>
      <c r="F58" s="31"/>
      <c r="G58" s="28"/>
      <c r="H58" s="31"/>
      <c r="I58" s="31"/>
      <c r="J58" s="31"/>
      <c r="K58" s="31"/>
    </row>
    <row r="59" spans="1:11" ht="15.75" customHeight="1">
      <c r="A59" s="31"/>
      <c r="B59" s="31"/>
      <c r="C59" s="193"/>
      <c r="D59" s="193"/>
      <c r="E59" s="192"/>
      <c r="F59" s="31"/>
      <c r="G59" s="28"/>
      <c r="H59" s="31"/>
      <c r="I59" s="31"/>
      <c r="J59" s="31"/>
      <c r="K59" s="31"/>
    </row>
    <row r="60" spans="1:11" ht="15.75" customHeight="1">
      <c r="A60" s="31"/>
      <c r="B60" s="31"/>
      <c r="C60" s="193"/>
      <c r="D60" s="193"/>
      <c r="E60" s="192"/>
      <c r="F60" s="31"/>
      <c r="G60" s="28"/>
      <c r="H60" s="31"/>
      <c r="I60" s="31"/>
      <c r="J60" s="31"/>
      <c r="K60" s="31"/>
    </row>
    <row r="61" spans="1:11" ht="15.75" customHeight="1">
      <c r="A61" s="31"/>
      <c r="B61" s="31"/>
      <c r="C61" s="193"/>
      <c r="D61" s="193"/>
      <c r="E61" s="192"/>
      <c r="F61" s="31"/>
      <c r="G61" s="28"/>
      <c r="H61" s="31"/>
      <c r="I61" s="31"/>
      <c r="J61" s="31"/>
      <c r="K61" s="31"/>
    </row>
    <row r="62" spans="1:11" ht="15.75" customHeight="1">
      <c r="A62" s="31"/>
      <c r="B62" s="31"/>
      <c r="C62" s="193"/>
      <c r="D62" s="193"/>
      <c r="E62" s="192"/>
      <c r="F62" s="31"/>
      <c r="G62" s="28"/>
      <c r="H62" s="31"/>
      <c r="I62" s="31"/>
      <c r="J62" s="31"/>
      <c r="K62" s="31"/>
    </row>
    <row r="63" spans="1:11" ht="15.75" customHeight="1">
      <c r="A63" s="31"/>
      <c r="B63" s="31"/>
      <c r="C63" s="193"/>
      <c r="D63" s="193"/>
      <c r="E63" s="192"/>
      <c r="F63" s="31"/>
      <c r="G63" s="28"/>
      <c r="H63" s="31"/>
      <c r="I63" s="31"/>
      <c r="J63" s="31"/>
      <c r="K63" s="31"/>
    </row>
    <row r="64" spans="1:11" ht="15.75" customHeight="1">
      <c r="A64" s="31"/>
      <c r="B64" s="31"/>
      <c r="C64" s="193"/>
      <c r="D64" s="193"/>
      <c r="E64" s="192"/>
      <c r="F64" s="31"/>
      <c r="G64" s="28"/>
      <c r="H64" s="31"/>
      <c r="I64" s="31"/>
      <c r="J64" s="31"/>
      <c r="K64" s="31"/>
    </row>
    <row r="65" spans="1:11" ht="15.75" customHeight="1">
      <c r="A65" s="31"/>
      <c r="B65" s="31"/>
      <c r="C65" s="193"/>
      <c r="D65" s="193"/>
      <c r="E65" s="192"/>
      <c r="F65" s="31"/>
      <c r="G65" s="28"/>
      <c r="H65" s="31"/>
      <c r="I65" s="31"/>
      <c r="J65" s="31"/>
      <c r="K65" s="31"/>
    </row>
    <row r="66" spans="1:11" ht="15.75" customHeight="1">
      <c r="A66" s="31"/>
      <c r="B66" s="31"/>
      <c r="C66" s="193"/>
      <c r="D66" s="193"/>
      <c r="E66" s="192"/>
      <c r="F66" s="31"/>
      <c r="G66" s="28"/>
      <c r="H66" s="31"/>
      <c r="I66" s="31"/>
      <c r="J66" s="31"/>
      <c r="K66" s="31"/>
    </row>
    <row r="67" spans="1:11" ht="15.75" customHeight="1">
      <c r="A67" s="31"/>
      <c r="B67" s="31"/>
      <c r="C67" s="193"/>
      <c r="D67" s="193"/>
      <c r="E67" s="192"/>
      <c r="F67" s="31"/>
      <c r="G67" s="28"/>
      <c r="H67" s="31"/>
      <c r="I67" s="31"/>
      <c r="J67" s="31"/>
      <c r="K67" s="31"/>
    </row>
    <row r="68" spans="1:11" ht="15.75" customHeight="1">
      <c r="A68" s="31"/>
      <c r="B68" s="31"/>
      <c r="C68" s="193"/>
      <c r="D68" s="193"/>
      <c r="E68" s="192"/>
      <c r="F68" s="31"/>
      <c r="G68" s="28"/>
      <c r="H68" s="31"/>
      <c r="I68" s="31"/>
      <c r="J68" s="31"/>
      <c r="K68" s="31"/>
    </row>
    <row r="69" spans="1:11" ht="15.75" customHeight="1">
      <c r="A69" s="31"/>
      <c r="B69" s="31"/>
      <c r="C69" s="193"/>
      <c r="D69" s="193"/>
      <c r="E69" s="192"/>
      <c r="F69" s="31"/>
      <c r="G69" s="28"/>
      <c r="H69" s="31"/>
      <c r="I69" s="31"/>
      <c r="J69" s="31"/>
      <c r="K69" s="31"/>
    </row>
    <row r="70" spans="1:11" ht="15.75" customHeight="1">
      <c r="A70" s="31"/>
      <c r="B70" s="31"/>
      <c r="C70" s="193"/>
      <c r="D70" s="193"/>
      <c r="E70" s="192"/>
      <c r="F70" s="31"/>
      <c r="G70" s="28"/>
      <c r="H70" s="31"/>
      <c r="I70" s="31"/>
      <c r="J70" s="31"/>
      <c r="K70" s="31"/>
    </row>
    <row r="71" spans="1:11" ht="15.75" customHeight="1">
      <c r="A71" s="31"/>
      <c r="B71" s="31"/>
      <c r="C71" s="193"/>
      <c r="D71" s="193"/>
      <c r="E71" s="192"/>
      <c r="F71" s="31"/>
      <c r="G71" s="28"/>
      <c r="H71" s="31"/>
      <c r="I71" s="31"/>
      <c r="J71" s="31"/>
      <c r="K71" s="31"/>
    </row>
    <row r="72" spans="1:11" ht="15.75" customHeight="1">
      <c r="A72" s="31"/>
      <c r="B72" s="31"/>
      <c r="C72" s="193"/>
      <c r="D72" s="193"/>
      <c r="E72" s="192"/>
      <c r="F72" s="31"/>
      <c r="G72" s="28"/>
      <c r="H72" s="31"/>
      <c r="I72" s="31"/>
      <c r="J72" s="31"/>
      <c r="K72" s="31"/>
    </row>
    <row r="73" spans="1:11" ht="15.75" customHeight="1">
      <c r="A73" s="31"/>
      <c r="B73" s="31"/>
      <c r="C73" s="193"/>
      <c r="D73" s="193"/>
      <c r="E73" s="192"/>
      <c r="F73" s="31"/>
      <c r="G73" s="28"/>
      <c r="H73" s="31"/>
      <c r="I73" s="31"/>
      <c r="J73" s="31"/>
      <c r="K73" s="31"/>
    </row>
    <row r="74" spans="1:11" ht="15.75" customHeight="1">
      <c r="A74" s="31"/>
      <c r="B74" s="31"/>
      <c r="C74" s="193"/>
      <c r="D74" s="193"/>
      <c r="E74" s="192"/>
      <c r="F74" s="31"/>
      <c r="G74" s="28"/>
      <c r="H74" s="31"/>
      <c r="I74" s="31"/>
      <c r="J74" s="31"/>
      <c r="K74" s="31"/>
    </row>
    <row r="75" spans="1:11" ht="15.75" customHeight="1">
      <c r="A75" s="31"/>
      <c r="B75" s="31"/>
      <c r="C75" s="193"/>
      <c r="D75" s="193"/>
      <c r="E75" s="192"/>
      <c r="F75" s="31"/>
      <c r="G75" s="28"/>
      <c r="H75" s="31"/>
      <c r="I75" s="31"/>
      <c r="J75" s="31"/>
      <c r="K75" s="31"/>
    </row>
    <row r="76" spans="1:11" ht="15.75" customHeight="1">
      <c r="A76" s="31"/>
      <c r="B76" s="31"/>
      <c r="C76" s="193"/>
      <c r="D76" s="193"/>
      <c r="E76" s="192"/>
      <c r="F76" s="31"/>
      <c r="G76" s="28"/>
      <c r="H76" s="31"/>
      <c r="I76" s="31"/>
      <c r="J76" s="31"/>
      <c r="K76" s="31"/>
    </row>
    <row r="77" spans="1:11" ht="15.75" customHeight="1">
      <c r="A77" s="31"/>
      <c r="B77" s="31"/>
      <c r="C77" s="193"/>
      <c r="D77" s="193"/>
      <c r="E77" s="192"/>
      <c r="F77" s="31"/>
      <c r="G77" s="28"/>
      <c r="H77" s="31"/>
      <c r="I77" s="31"/>
      <c r="J77" s="31"/>
      <c r="K77" s="31"/>
    </row>
    <row r="78" spans="1:11" ht="15.75" customHeight="1">
      <c r="A78" s="31"/>
      <c r="B78" s="31"/>
      <c r="C78" s="193"/>
      <c r="D78" s="193"/>
      <c r="E78" s="192"/>
      <c r="F78" s="31"/>
      <c r="G78" s="28"/>
      <c r="H78" s="31"/>
      <c r="I78" s="31"/>
      <c r="J78" s="31"/>
      <c r="K78" s="31"/>
    </row>
    <row r="79" spans="1:11" ht="15.75" customHeight="1">
      <c r="A79" s="31"/>
      <c r="B79" s="31"/>
      <c r="C79" s="193"/>
      <c r="D79" s="193"/>
      <c r="E79" s="192"/>
      <c r="F79" s="31"/>
      <c r="G79" s="28"/>
      <c r="H79" s="31"/>
      <c r="I79" s="31"/>
      <c r="J79" s="31"/>
      <c r="K79" s="31"/>
    </row>
    <row r="80" spans="1:11" ht="15.75" customHeight="1">
      <c r="A80" s="31"/>
      <c r="B80" s="31"/>
      <c r="C80" s="193"/>
      <c r="D80" s="193"/>
      <c r="E80" s="192"/>
      <c r="F80" s="31"/>
      <c r="G80" s="28"/>
      <c r="H80" s="31"/>
      <c r="I80" s="31"/>
      <c r="J80" s="31"/>
      <c r="K80" s="31"/>
    </row>
    <row r="81" spans="1:11" ht="15.75" customHeight="1">
      <c r="A81" s="31"/>
      <c r="B81" s="31"/>
      <c r="C81" s="193"/>
      <c r="D81" s="193"/>
      <c r="E81" s="192"/>
      <c r="F81" s="31"/>
      <c r="G81" s="28"/>
      <c r="H81" s="31"/>
      <c r="I81" s="31"/>
      <c r="J81" s="31"/>
      <c r="K81" s="31"/>
    </row>
    <row r="82" spans="1:11" ht="15.75" customHeight="1">
      <c r="A82" s="31"/>
      <c r="B82" s="31"/>
      <c r="C82" s="193"/>
      <c r="D82" s="193"/>
      <c r="E82" s="192"/>
      <c r="F82" s="31"/>
      <c r="G82" s="28"/>
      <c r="H82" s="31"/>
      <c r="I82" s="31"/>
      <c r="J82" s="31"/>
      <c r="K82" s="31"/>
    </row>
    <row r="83" spans="1:11" ht="15.75" customHeight="1">
      <c r="A83" s="31"/>
      <c r="B83" s="31"/>
      <c r="C83" s="193"/>
      <c r="D83" s="193"/>
      <c r="E83" s="192"/>
      <c r="F83" s="31"/>
      <c r="G83" s="28"/>
      <c r="H83" s="31"/>
      <c r="I83" s="31"/>
      <c r="J83" s="31"/>
      <c r="K83" s="31"/>
    </row>
    <row r="84" spans="1:11" ht="15.75" customHeight="1">
      <c r="A84" s="31"/>
      <c r="B84" s="31"/>
      <c r="C84" s="193"/>
      <c r="D84" s="193"/>
      <c r="E84" s="192"/>
      <c r="F84" s="31"/>
      <c r="G84" s="28"/>
      <c r="H84" s="31"/>
      <c r="I84" s="31"/>
      <c r="J84" s="31"/>
      <c r="K84" s="31"/>
    </row>
    <row r="85" spans="1:11" ht="15.75" customHeight="1">
      <c r="A85" s="31"/>
      <c r="B85" s="31"/>
      <c r="C85" s="193"/>
      <c r="D85" s="193"/>
      <c r="E85" s="192"/>
      <c r="F85" s="31"/>
      <c r="G85" s="28"/>
      <c r="H85" s="31"/>
      <c r="I85" s="31"/>
      <c r="J85" s="31"/>
      <c r="K85" s="31"/>
    </row>
    <row r="86" spans="1:11" ht="15.75" customHeight="1">
      <c r="A86" s="31"/>
      <c r="B86" s="31"/>
      <c r="C86" s="193"/>
      <c r="D86" s="193"/>
      <c r="E86" s="192"/>
      <c r="F86" s="31"/>
      <c r="G86" s="28"/>
      <c r="H86" s="31"/>
      <c r="I86" s="31"/>
      <c r="J86" s="31"/>
      <c r="K86" s="31"/>
    </row>
    <row r="87" spans="1:11" ht="15.75" customHeight="1">
      <c r="A87" s="31"/>
      <c r="B87" s="31"/>
      <c r="C87" s="193"/>
      <c r="D87" s="193"/>
      <c r="E87" s="192"/>
      <c r="F87" s="31"/>
      <c r="G87" s="28"/>
      <c r="H87" s="31"/>
      <c r="I87" s="31"/>
      <c r="J87" s="31"/>
      <c r="K87" s="31"/>
    </row>
    <row r="88" spans="1:11" ht="15.75" customHeight="1">
      <c r="A88" s="31"/>
      <c r="B88" s="31"/>
      <c r="C88" s="193"/>
      <c r="D88" s="193"/>
      <c r="E88" s="192"/>
      <c r="F88" s="31"/>
      <c r="G88" s="28"/>
      <c r="H88" s="31"/>
      <c r="I88" s="31"/>
      <c r="J88" s="31"/>
      <c r="K88" s="31"/>
    </row>
    <row r="89" spans="1:11" ht="15.75" customHeight="1">
      <c r="A89" s="31"/>
      <c r="B89" s="31"/>
      <c r="C89" s="193"/>
      <c r="D89" s="193"/>
      <c r="E89" s="192"/>
      <c r="F89" s="31"/>
      <c r="G89" s="28"/>
      <c r="H89" s="31"/>
      <c r="I89" s="31"/>
      <c r="J89" s="31"/>
      <c r="K89" s="31"/>
    </row>
    <row r="90" spans="1:11" ht="15.75" customHeight="1">
      <c r="A90" s="31"/>
      <c r="B90" s="31"/>
      <c r="C90" s="193"/>
      <c r="D90" s="193"/>
      <c r="E90" s="192"/>
      <c r="F90" s="31"/>
      <c r="G90" s="28"/>
      <c r="H90" s="31"/>
      <c r="I90" s="31"/>
      <c r="J90" s="31"/>
      <c r="K90" s="31"/>
    </row>
    <row r="91" spans="1:11" ht="15.75" customHeight="1">
      <c r="A91" s="31"/>
      <c r="B91" s="31"/>
      <c r="C91" s="193"/>
      <c r="D91" s="193"/>
      <c r="E91" s="192"/>
      <c r="F91" s="31"/>
      <c r="G91" s="28"/>
      <c r="H91" s="31"/>
      <c r="I91" s="31"/>
      <c r="J91" s="31"/>
      <c r="K91" s="31"/>
    </row>
    <row r="92" spans="1:11" ht="15.75" customHeight="1">
      <c r="A92" s="31"/>
      <c r="B92" s="31"/>
      <c r="C92" s="193"/>
      <c r="D92" s="193"/>
      <c r="E92" s="192"/>
      <c r="F92" s="31"/>
      <c r="G92" s="28"/>
      <c r="H92" s="31"/>
      <c r="I92" s="31"/>
      <c r="J92" s="31"/>
      <c r="K92" s="31"/>
    </row>
    <row r="93" spans="1:11" ht="15.75" customHeight="1">
      <c r="A93" s="31"/>
      <c r="B93" s="31"/>
      <c r="C93" s="193"/>
      <c r="D93" s="193"/>
      <c r="E93" s="192"/>
      <c r="F93" s="31"/>
      <c r="G93" s="28"/>
      <c r="H93" s="31"/>
      <c r="I93" s="31"/>
      <c r="J93" s="31"/>
      <c r="K93" s="31"/>
    </row>
    <row r="94" spans="1:11" ht="15.75" customHeight="1">
      <c r="A94" s="31"/>
      <c r="B94" s="31"/>
      <c r="C94" s="193"/>
      <c r="D94" s="193"/>
      <c r="E94" s="192"/>
      <c r="F94" s="31"/>
      <c r="G94" s="28"/>
      <c r="H94" s="31"/>
      <c r="I94" s="31"/>
      <c r="J94" s="31"/>
      <c r="K94" s="31"/>
    </row>
    <row r="95" spans="1:11" ht="15.75" customHeight="1">
      <c r="A95" s="31"/>
      <c r="B95" s="31"/>
      <c r="C95" s="193"/>
      <c r="D95" s="193"/>
      <c r="E95" s="192"/>
      <c r="F95" s="31"/>
      <c r="G95" s="28"/>
      <c r="H95" s="31"/>
      <c r="I95" s="31"/>
      <c r="J95" s="31"/>
      <c r="K95" s="31"/>
    </row>
    <row r="96" spans="1:11" ht="15.75" customHeight="1">
      <c r="A96" s="31"/>
      <c r="B96" s="31"/>
      <c r="C96" s="193"/>
      <c r="D96" s="193"/>
      <c r="E96" s="192"/>
      <c r="F96" s="31"/>
      <c r="G96" s="28"/>
      <c r="H96" s="31"/>
      <c r="I96" s="31"/>
      <c r="J96" s="31"/>
      <c r="K96" s="31"/>
    </row>
    <row r="97" spans="1:11" ht="15.75" customHeight="1">
      <c r="A97" s="31"/>
      <c r="B97" s="31"/>
      <c r="C97" s="193"/>
      <c r="D97" s="193"/>
      <c r="E97" s="192"/>
      <c r="F97" s="31"/>
      <c r="G97" s="28"/>
      <c r="H97" s="31"/>
      <c r="I97" s="31"/>
      <c r="J97" s="31"/>
      <c r="K97" s="31"/>
    </row>
    <row r="98" spans="1:11" ht="15.75" customHeight="1">
      <c r="A98" s="31"/>
      <c r="B98" s="31"/>
      <c r="C98" s="193"/>
      <c r="D98" s="193"/>
      <c r="E98" s="192"/>
      <c r="F98" s="31"/>
      <c r="G98" s="28"/>
      <c r="H98" s="31"/>
      <c r="I98" s="31"/>
      <c r="J98" s="31"/>
      <c r="K98" s="31"/>
    </row>
    <row r="99" spans="1:11" ht="15.75" customHeight="1">
      <c r="A99" s="31"/>
      <c r="B99" s="31"/>
      <c r="C99" s="193"/>
      <c r="D99" s="193"/>
      <c r="E99" s="192"/>
      <c r="F99" s="31"/>
      <c r="G99" s="28"/>
      <c r="H99" s="31"/>
      <c r="I99" s="31"/>
      <c r="J99" s="31"/>
      <c r="K99" s="31"/>
    </row>
    <row r="100" spans="1:11" ht="15.75" customHeight="1">
      <c r="A100" s="31"/>
      <c r="B100" s="31"/>
      <c r="C100" s="193"/>
      <c r="D100" s="193"/>
      <c r="E100" s="192"/>
      <c r="F100" s="31"/>
      <c r="G100" s="28"/>
      <c r="H100" s="31"/>
      <c r="I100" s="31"/>
      <c r="J100" s="31"/>
      <c r="K100" s="31"/>
    </row>
  </sheetData>
  <mergeCells count="11">
    <mergeCell ref="A21:G21"/>
    <mergeCell ref="A35:G35"/>
    <mergeCell ref="A36:G36"/>
    <mergeCell ref="B1:G1"/>
    <mergeCell ref="B2:G2"/>
    <mergeCell ref="B3:G3"/>
    <mergeCell ref="A4:G4"/>
    <mergeCell ref="A6:G6"/>
    <mergeCell ref="D7:E7"/>
    <mergeCell ref="F7:G7"/>
    <mergeCell ref="A5:G5"/>
  </mergeCells>
  <pageMargins left="0.6692913385826772" right="0.51181102362204722" top="0.78740157480314965" bottom="0.78740157480314965" header="0" footer="0"/>
  <pageSetup paperSize="9" scale="8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00"/>
  <sheetViews>
    <sheetView showGridLines="0" zoomScaleNormal="100" workbookViewId="0">
      <selection activeCell="A4" sqref="A4:M4"/>
    </sheetView>
  </sheetViews>
  <sheetFormatPr defaultColWidth="11" defaultRowHeight="15" customHeight="1"/>
  <cols>
    <col min="1" max="1" width="6" style="11" customWidth="1"/>
    <col min="2" max="2" width="53.5" style="11" customWidth="1"/>
    <col min="3" max="3" width="5" style="11" customWidth="1"/>
    <col min="4" max="4" width="7.375" style="11" customWidth="1"/>
    <col min="5" max="5" width="4" style="11" customWidth="1"/>
    <col min="6" max="6" width="6.625" style="11" bestFit="1" customWidth="1"/>
    <col min="7" max="7" width="6.375" style="11" customWidth="1"/>
    <col min="8" max="9" width="8" style="11" customWidth="1"/>
    <col min="10" max="10" width="7.5" style="11" customWidth="1"/>
    <col min="11" max="11" width="17.375" style="11" customWidth="1"/>
    <col min="12" max="16384" width="11" style="11"/>
  </cols>
  <sheetData>
    <row r="1" spans="1:11" ht="15.75" customHeight="1">
      <c r="A1" s="27"/>
      <c r="B1" s="499" t="s">
        <v>81</v>
      </c>
      <c r="C1" s="496"/>
      <c r="D1" s="496"/>
      <c r="E1" s="496"/>
      <c r="F1" s="496"/>
      <c r="G1" s="496"/>
      <c r="H1" s="27"/>
      <c r="I1" s="31"/>
      <c r="J1" s="31"/>
      <c r="K1" s="31"/>
    </row>
    <row r="2" spans="1:11" ht="15.75" customHeight="1">
      <c r="A2" s="30"/>
      <c r="B2" s="500" t="s">
        <v>82</v>
      </c>
      <c r="C2" s="496"/>
      <c r="D2" s="496"/>
      <c r="E2" s="496"/>
      <c r="F2" s="496"/>
      <c r="G2" s="496"/>
      <c r="H2" s="30"/>
      <c r="I2" s="31"/>
      <c r="J2" s="31"/>
      <c r="K2" s="31"/>
    </row>
    <row r="3" spans="1:11" ht="15.75" customHeight="1">
      <c r="A3" s="30"/>
      <c r="B3" s="500" t="s">
        <v>19</v>
      </c>
      <c r="C3" s="496"/>
      <c r="D3" s="496"/>
      <c r="E3" s="496"/>
      <c r="F3" s="496"/>
      <c r="G3" s="496"/>
      <c r="H3" s="30"/>
      <c r="I3" s="31"/>
      <c r="J3" s="31"/>
      <c r="K3" s="31"/>
    </row>
    <row r="4" spans="1:11" ht="15.75" customHeight="1">
      <c r="A4" s="501" t="s">
        <v>83</v>
      </c>
      <c r="B4" s="502"/>
      <c r="C4" s="502"/>
      <c r="D4" s="502"/>
      <c r="E4" s="502"/>
      <c r="F4" s="502"/>
      <c r="G4" s="502"/>
      <c r="H4" s="16"/>
      <c r="I4" s="31"/>
      <c r="J4" s="31"/>
      <c r="K4" s="31"/>
    </row>
    <row r="5" spans="1:11" ht="15.75" customHeight="1">
      <c r="A5" s="568" t="s">
        <v>541</v>
      </c>
      <c r="B5" s="568"/>
      <c r="C5" s="568"/>
      <c r="D5" s="568"/>
      <c r="E5" s="568"/>
      <c r="F5" s="568"/>
      <c r="G5" s="568"/>
      <c r="H5" s="31"/>
      <c r="I5" s="31"/>
      <c r="J5" s="31"/>
      <c r="K5" s="31"/>
    </row>
    <row r="6" spans="1:11" ht="32.25" customHeight="1">
      <c r="A6" s="564" t="s">
        <v>64</v>
      </c>
      <c r="B6" s="565"/>
      <c r="C6" s="565"/>
      <c r="D6" s="565"/>
      <c r="E6" s="565"/>
      <c r="F6" s="565"/>
      <c r="G6" s="566"/>
      <c r="H6" s="31"/>
      <c r="I6" s="31"/>
      <c r="J6" s="31"/>
      <c r="K6" s="31"/>
    </row>
    <row r="7" spans="1:11" ht="33.75" customHeight="1">
      <c r="A7" s="175"/>
      <c r="B7" s="159" t="s">
        <v>63</v>
      </c>
      <c r="C7" s="175"/>
      <c r="D7" s="567" t="s">
        <v>62</v>
      </c>
      <c r="E7" s="528"/>
      <c r="F7" s="567" t="s">
        <v>61</v>
      </c>
      <c r="G7" s="528"/>
      <c r="H7" s="29"/>
      <c r="I7" s="29"/>
      <c r="J7" s="29"/>
      <c r="K7" s="29"/>
    </row>
    <row r="8" spans="1:11" ht="15" customHeight="1">
      <c r="A8" s="176">
        <v>1</v>
      </c>
      <c r="B8" s="177" t="s">
        <v>60</v>
      </c>
      <c r="C8" s="176" t="s">
        <v>59</v>
      </c>
      <c r="D8" s="178">
        <v>3</v>
      </c>
      <c r="E8" s="179" t="s">
        <v>30</v>
      </c>
      <c r="F8" s="178">
        <v>1.5</v>
      </c>
      <c r="G8" s="179" t="s">
        <v>30</v>
      </c>
      <c r="H8" s="31"/>
      <c r="I8" s="180"/>
      <c r="J8" s="31"/>
      <c r="K8" s="31"/>
    </row>
    <row r="9" spans="1:11" ht="15" customHeight="1">
      <c r="A9" s="176">
        <v>2</v>
      </c>
      <c r="B9" s="177" t="s">
        <v>58</v>
      </c>
      <c r="C9" s="176" t="s">
        <v>57</v>
      </c>
      <c r="D9" s="178">
        <v>0.59</v>
      </c>
      <c r="E9" s="179" t="s">
        <v>30</v>
      </c>
      <c r="F9" s="178">
        <v>0.85</v>
      </c>
      <c r="G9" s="179" t="s">
        <v>30</v>
      </c>
      <c r="H9" s="31"/>
      <c r="I9" s="180"/>
      <c r="J9" s="31"/>
      <c r="K9" s="31"/>
    </row>
    <row r="10" spans="1:11" ht="15" customHeight="1">
      <c r="A10" s="176">
        <v>3</v>
      </c>
      <c r="B10" s="177" t="s">
        <v>56</v>
      </c>
      <c r="C10" s="176" t="s">
        <v>55</v>
      </c>
      <c r="D10" s="178">
        <v>0.8</v>
      </c>
      <c r="E10" s="179" t="s">
        <v>30</v>
      </c>
      <c r="F10" s="178">
        <v>0.3</v>
      </c>
      <c r="G10" s="179" t="s">
        <v>30</v>
      </c>
      <c r="H10" s="31"/>
      <c r="I10" s="180"/>
      <c r="J10" s="31"/>
      <c r="K10" s="31"/>
    </row>
    <row r="11" spans="1:11" ht="15" customHeight="1">
      <c r="A11" s="176">
        <v>4</v>
      </c>
      <c r="B11" s="177" t="s">
        <v>54</v>
      </c>
      <c r="C11" s="176" t="s">
        <v>53</v>
      </c>
      <c r="D11" s="178">
        <v>0.97</v>
      </c>
      <c r="E11" s="179" t="s">
        <v>30</v>
      </c>
      <c r="F11" s="178">
        <v>0.56000000000000005</v>
      </c>
      <c r="G11" s="179" t="s">
        <v>30</v>
      </c>
      <c r="H11" s="31"/>
      <c r="I11" s="180"/>
      <c r="J11" s="31"/>
      <c r="K11" s="31"/>
    </row>
    <row r="12" spans="1:11" ht="15" customHeight="1">
      <c r="A12" s="176">
        <v>5</v>
      </c>
      <c r="B12" s="177" t="s">
        <v>52</v>
      </c>
      <c r="C12" s="176" t="s">
        <v>51</v>
      </c>
      <c r="D12" s="178">
        <v>6.16</v>
      </c>
      <c r="E12" s="179" t="s">
        <v>30</v>
      </c>
      <c r="F12" s="178">
        <v>3.5</v>
      </c>
      <c r="G12" s="179" t="s">
        <v>30</v>
      </c>
      <c r="H12" s="31"/>
      <c r="I12" s="180"/>
      <c r="J12" s="31"/>
      <c r="K12" s="31"/>
    </row>
    <row r="13" spans="1:11" ht="31.5">
      <c r="A13" s="176">
        <v>6</v>
      </c>
      <c r="B13" s="160" t="s">
        <v>281</v>
      </c>
      <c r="C13" s="176" t="s">
        <v>50</v>
      </c>
      <c r="D13" s="181">
        <f>SUM(D14:D17)</f>
        <v>8.65</v>
      </c>
      <c r="E13" s="182" t="s">
        <v>30</v>
      </c>
      <c r="F13" s="181">
        <f>SUM(F14:F17)</f>
        <v>3.65</v>
      </c>
      <c r="G13" s="182" t="s">
        <v>30</v>
      </c>
      <c r="H13" s="31"/>
      <c r="I13" s="180"/>
      <c r="J13" s="31"/>
      <c r="K13" s="31"/>
    </row>
    <row r="14" spans="1:11" ht="15" customHeight="1">
      <c r="A14" s="176" t="s">
        <v>12</v>
      </c>
      <c r="B14" s="183" t="s">
        <v>49</v>
      </c>
      <c r="C14" s="176" t="s">
        <v>48</v>
      </c>
      <c r="D14" s="178">
        <v>3</v>
      </c>
      <c r="E14" s="179" t="s">
        <v>30</v>
      </c>
      <c r="F14" s="178">
        <v>3</v>
      </c>
      <c r="G14" s="179" t="s">
        <v>30</v>
      </c>
      <c r="H14" s="31"/>
      <c r="I14" s="180"/>
      <c r="J14" s="31"/>
      <c r="K14" s="31"/>
    </row>
    <row r="15" spans="1:11" ht="15" customHeight="1">
      <c r="A15" s="176" t="s">
        <v>13</v>
      </c>
      <c r="B15" s="183" t="s">
        <v>47</v>
      </c>
      <c r="C15" s="176" t="s">
        <v>46</v>
      </c>
      <c r="D15" s="178">
        <v>5</v>
      </c>
      <c r="E15" s="179" t="s">
        <v>30</v>
      </c>
      <c r="F15" s="178">
        <v>0</v>
      </c>
      <c r="G15" s="179" t="s">
        <v>30</v>
      </c>
      <c r="H15" s="31"/>
      <c r="I15" s="180"/>
      <c r="J15" s="31"/>
      <c r="K15" s="227">
        <f>((1+D8+D11+D10)*(1+D9)*(1+D12))</f>
        <v>65.68798799999999</v>
      </c>
    </row>
    <row r="16" spans="1:11" ht="15" customHeight="1">
      <c r="A16" s="176" t="s">
        <v>14</v>
      </c>
      <c r="B16" s="183" t="s">
        <v>45</v>
      </c>
      <c r="C16" s="176" t="s">
        <v>44</v>
      </c>
      <c r="D16" s="178">
        <v>0.65</v>
      </c>
      <c r="E16" s="179" t="s">
        <v>30</v>
      </c>
      <c r="F16" s="178">
        <v>0.65</v>
      </c>
      <c r="G16" s="179" t="s">
        <v>30</v>
      </c>
      <c r="H16" s="31"/>
      <c r="I16" s="180"/>
      <c r="J16" s="31"/>
      <c r="K16" s="228">
        <f>100-D13</f>
        <v>91.35</v>
      </c>
    </row>
    <row r="17" spans="1:11" ht="31.5">
      <c r="A17" s="176" t="s">
        <v>15</v>
      </c>
      <c r="B17" s="225" t="s">
        <v>282</v>
      </c>
      <c r="C17" s="176" t="s">
        <v>43</v>
      </c>
      <c r="D17" s="178">
        <v>0</v>
      </c>
      <c r="E17" s="179" t="s">
        <v>30</v>
      </c>
      <c r="F17" s="178">
        <v>0</v>
      </c>
      <c r="G17" s="179" t="s">
        <v>30</v>
      </c>
      <c r="H17" s="31"/>
      <c r="I17" s="180"/>
      <c r="J17" s="31"/>
      <c r="K17" s="31">
        <f>K15/K16</f>
        <v>0.71908032840722491</v>
      </c>
    </row>
    <row r="18" spans="1:11" ht="15" customHeight="1">
      <c r="A18" s="184"/>
      <c r="B18" s="185" t="s">
        <v>42</v>
      </c>
      <c r="C18" s="184"/>
      <c r="D18" s="181">
        <f>((((1+(D8+D10+D11)/100)*(1+(D9/100))*(1+(D12)/100))/(1-(D13/100)))-1)*100</f>
        <v>22.474058685057496</v>
      </c>
      <c r="E18" s="179" t="s">
        <v>30</v>
      </c>
      <c r="F18" s="181">
        <f>((((1+(F8+F10+F11)/100)*(1+(F9/100))*(1+(F12)/100))/(1-(F13/100)))-1)*100</f>
        <v>10.890619719771678</v>
      </c>
      <c r="G18" s="182" t="s">
        <v>30</v>
      </c>
      <c r="H18" s="226"/>
      <c r="I18" s="187"/>
      <c r="J18" s="186"/>
      <c r="K18" s="186">
        <f>K17-1</f>
        <v>-0.28091967159277509</v>
      </c>
    </row>
    <row r="19" spans="1:11" ht="15" customHeight="1">
      <c r="A19" s="188"/>
      <c r="B19" s="189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1:11" ht="12" customHeight="1">
      <c r="A20" s="188"/>
      <c r="B20" s="189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1" ht="30" customHeight="1">
      <c r="A21" s="562"/>
      <c r="B21" s="496"/>
      <c r="C21" s="496"/>
      <c r="D21" s="496"/>
      <c r="E21" s="496"/>
      <c r="F21" s="496"/>
      <c r="G21" s="496"/>
      <c r="H21" s="189"/>
      <c r="I21" s="189"/>
      <c r="J21" s="189"/>
      <c r="K21" s="189"/>
    </row>
    <row r="22" spans="1:11" ht="15" customHeight="1">
      <c r="A22" s="189" t="s">
        <v>283</v>
      </c>
      <c r="B22" s="189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11" ht="15" customHeight="1">
      <c r="A23" s="189" t="s">
        <v>41</v>
      </c>
      <c r="B23" s="189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ht="15" customHeight="1">
      <c r="A24" s="189" t="s">
        <v>40</v>
      </c>
      <c r="B24" s="189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1:11" ht="15" customHeight="1">
      <c r="A25" s="189" t="s">
        <v>39</v>
      </c>
      <c r="B25" s="189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1" ht="15" customHeight="1">
      <c r="A26" s="189" t="s">
        <v>38</v>
      </c>
      <c r="B26" s="189"/>
      <c r="C26" s="186"/>
      <c r="D26" s="186"/>
      <c r="E26" s="186"/>
      <c r="F26" s="186"/>
      <c r="G26" s="186"/>
      <c r="H26" s="186"/>
      <c r="I26" s="186"/>
      <c r="J26" s="186"/>
      <c r="K26" s="186"/>
    </row>
    <row r="27" spans="1:11" ht="15" customHeight="1">
      <c r="A27" s="189" t="s">
        <v>37</v>
      </c>
      <c r="B27" s="189"/>
      <c r="C27" s="186"/>
      <c r="D27" s="186"/>
      <c r="E27" s="186"/>
      <c r="F27" s="186"/>
      <c r="G27" s="186"/>
      <c r="H27" s="186"/>
      <c r="I27" s="186"/>
      <c r="J27" s="186"/>
      <c r="K27" s="186"/>
    </row>
    <row r="28" spans="1:11" ht="15" customHeight="1">
      <c r="A28" s="189" t="s">
        <v>36</v>
      </c>
      <c r="B28" s="189"/>
      <c r="C28" s="186"/>
      <c r="D28" s="186"/>
      <c r="E28" s="186"/>
      <c r="F28" s="186"/>
      <c r="G28" s="186"/>
      <c r="H28" s="186"/>
      <c r="I28" s="186"/>
      <c r="J28" s="186"/>
      <c r="K28" s="186"/>
    </row>
    <row r="29" spans="1:11" ht="15" customHeight="1">
      <c r="A29" s="189" t="s">
        <v>35</v>
      </c>
      <c r="B29" s="189"/>
      <c r="C29" s="186"/>
      <c r="D29" s="186"/>
      <c r="E29" s="186"/>
      <c r="F29" s="186"/>
      <c r="G29" s="186"/>
      <c r="H29" s="186"/>
      <c r="I29" s="186"/>
      <c r="J29" s="186"/>
      <c r="K29" s="186"/>
    </row>
    <row r="30" spans="1:11" ht="15" customHeight="1">
      <c r="A30" s="189" t="s">
        <v>34</v>
      </c>
      <c r="B30" s="189"/>
      <c r="C30" s="186"/>
      <c r="D30" s="186"/>
      <c r="E30" s="186"/>
      <c r="F30" s="186"/>
      <c r="G30" s="186"/>
      <c r="H30" s="186"/>
      <c r="I30" s="186"/>
      <c r="J30" s="186"/>
      <c r="K30" s="186"/>
    </row>
    <row r="31" spans="1:11" ht="15" customHeight="1">
      <c r="A31" s="188"/>
      <c r="B31" s="189"/>
      <c r="C31" s="186"/>
      <c r="D31" s="186"/>
      <c r="E31" s="186"/>
      <c r="F31" s="186"/>
      <c r="G31" s="186"/>
      <c r="H31" s="186"/>
      <c r="I31" s="186"/>
      <c r="J31" s="186"/>
      <c r="K31" s="186"/>
    </row>
    <row r="32" spans="1:11" ht="15" customHeight="1">
      <c r="A32" s="188"/>
      <c r="B32" s="423" t="s">
        <v>540</v>
      </c>
      <c r="C32" s="31"/>
      <c r="D32" s="31"/>
      <c r="E32" s="186"/>
      <c r="F32" s="186"/>
      <c r="G32" s="186"/>
      <c r="H32" s="186"/>
      <c r="I32" s="186"/>
      <c r="J32" s="186"/>
      <c r="K32" s="186"/>
    </row>
    <row r="33" spans="1:11" ht="11.25" customHeight="1">
      <c r="A33" s="188"/>
      <c r="B33" s="28"/>
      <c r="C33" s="31"/>
      <c r="D33" s="31"/>
      <c r="E33" s="186"/>
      <c r="F33" s="186"/>
      <c r="G33" s="186"/>
      <c r="H33" s="186"/>
      <c r="I33" s="186"/>
      <c r="J33" s="186"/>
      <c r="K33" s="186"/>
    </row>
    <row r="34" spans="1:11" ht="0.75" customHeight="1">
      <c r="A34" s="188"/>
      <c r="B34" s="189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ht="81.75" customHeight="1">
      <c r="A35" s="563" t="s">
        <v>285</v>
      </c>
      <c r="B35" s="496"/>
      <c r="C35" s="496"/>
      <c r="D35" s="496"/>
      <c r="E35" s="496"/>
      <c r="F35" s="496"/>
      <c r="G35" s="496"/>
      <c r="H35" s="28"/>
      <c r="I35" s="28"/>
      <c r="J35" s="28"/>
      <c r="K35" s="28"/>
    </row>
    <row r="36" spans="1:11" ht="57.75" customHeight="1">
      <c r="A36" s="563" t="s">
        <v>286</v>
      </c>
      <c r="B36" s="496"/>
      <c r="C36" s="496"/>
      <c r="D36" s="496"/>
      <c r="E36" s="496"/>
      <c r="F36" s="496"/>
      <c r="G36" s="496"/>
      <c r="H36" s="28"/>
      <c r="I36" s="28"/>
      <c r="J36" s="28"/>
      <c r="K36" s="28"/>
    </row>
    <row r="37" spans="1:11" ht="33.75" customHeight="1">
      <c r="A37" s="15"/>
      <c r="B37" s="15"/>
      <c r="C37" s="15"/>
      <c r="D37" s="15"/>
      <c r="E37" s="15"/>
      <c r="F37" s="15"/>
      <c r="G37" s="15"/>
      <c r="H37" s="28"/>
      <c r="I37" s="28"/>
      <c r="J37" s="28"/>
      <c r="K37" s="28"/>
    </row>
    <row r="38" spans="1:11" ht="15.75" customHeight="1">
      <c r="A38" s="31"/>
      <c r="B38" s="173"/>
      <c r="C38" s="31"/>
      <c r="D38" s="264" t="s">
        <v>535</v>
      </c>
      <c r="E38" s="29"/>
      <c r="F38" s="29"/>
      <c r="G38" s="29"/>
      <c r="H38" s="31"/>
      <c r="I38" s="31"/>
      <c r="J38" s="31"/>
      <c r="K38" s="31"/>
    </row>
    <row r="39" spans="1:11" ht="15.75" customHeight="1">
      <c r="A39" s="31"/>
      <c r="B39" s="190" t="s">
        <v>287</v>
      </c>
      <c r="C39" s="188"/>
      <c r="D39" s="188"/>
      <c r="E39" s="29"/>
      <c r="F39" s="29"/>
      <c r="G39" s="29"/>
      <c r="H39" s="31"/>
      <c r="I39" s="31"/>
      <c r="J39" s="31"/>
      <c r="K39" s="31"/>
    </row>
    <row r="40" spans="1:11" ht="15.75" customHeight="1">
      <c r="A40" s="31"/>
      <c r="B40" s="190" t="s">
        <v>295</v>
      </c>
      <c r="C40" s="174"/>
      <c r="D40" s="174"/>
      <c r="E40" s="29"/>
      <c r="F40" s="29"/>
      <c r="G40" s="29"/>
      <c r="H40" s="31"/>
      <c r="I40" s="31"/>
      <c r="J40" s="31"/>
      <c r="K40" s="31"/>
    </row>
    <row r="41" spans="1:11" ht="15.75" customHeight="1">
      <c r="A41" s="31"/>
      <c r="B41" s="190" t="s">
        <v>296</v>
      </c>
      <c r="C41" s="174"/>
      <c r="D41" s="174"/>
      <c r="E41" s="29"/>
      <c r="F41" s="29"/>
      <c r="G41" s="29"/>
      <c r="H41" s="31"/>
      <c r="I41" s="31"/>
      <c r="J41" s="31"/>
      <c r="K41" s="31"/>
    </row>
    <row r="42" spans="1:11" ht="15.75" customHeight="1">
      <c r="A42" s="31"/>
      <c r="B42" s="190" t="s">
        <v>297</v>
      </c>
      <c r="C42" s="174"/>
      <c r="D42" s="174"/>
      <c r="E42" s="191"/>
      <c r="F42" s="186"/>
      <c r="G42" s="189"/>
      <c r="H42" s="31"/>
      <c r="I42" s="31"/>
      <c r="J42" s="31"/>
      <c r="K42" s="31"/>
    </row>
    <row r="43" spans="1:11" ht="15.75" customHeight="1">
      <c r="A43" s="31"/>
      <c r="B43" s="190"/>
      <c r="C43" s="174"/>
      <c r="D43" s="174"/>
      <c r="E43" s="192"/>
      <c r="F43" s="31"/>
      <c r="G43" s="28"/>
      <c r="H43" s="31"/>
      <c r="I43" s="31"/>
      <c r="J43" s="31"/>
      <c r="K43" s="31"/>
    </row>
    <row r="44" spans="1:11" ht="15.75" customHeight="1">
      <c r="A44" s="31"/>
      <c r="B44" s="190"/>
      <c r="C44" s="174"/>
      <c r="D44" s="174"/>
      <c r="E44" s="192"/>
      <c r="F44" s="31"/>
      <c r="G44" s="28"/>
      <c r="H44" s="31"/>
      <c r="I44" s="31"/>
      <c r="J44" s="31"/>
      <c r="K44" s="31"/>
    </row>
    <row r="45" spans="1:11" ht="15.75" customHeight="1">
      <c r="A45" s="31"/>
      <c r="B45" s="29"/>
      <c r="C45" s="193"/>
      <c r="D45" s="193"/>
      <c r="E45" s="192"/>
      <c r="F45" s="31"/>
      <c r="G45" s="28"/>
      <c r="H45" s="31"/>
      <c r="I45" s="31"/>
      <c r="J45" s="31"/>
      <c r="K45" s="31"/>
    </row>
    <row r="46" spans="1:11" ht="15.75" customHeight="1">
      <c r="A46" s="31"/>
      <c r="B46" s="29"/>
      <c r="C46" s="174"/>
      <c r="D46" s="174"/>
      <c r="E46" s="174"/>
      <c r="F46" s="174"/>
      <c r="G46" s="174"/>
      <c r="H46" s="31"/>
      <c r="I46" s="31"/>
      <c r="J46" s="31"/>
      <c r="K46" s="31"/>
    </row>
    <row r="47" spans="1:11" ht="15.75" customHeight="1">
      <c r="A47" s="31"/>
      <c r="B47" s="29"/>
      <c r="C47" s="194"/>
      <c r="D47" s="194"/>
      <c r="E47" s="194"/>
      <c r="F47" s="194"/>
      <c r="G47" s="194"/>
      <c r="H47" s="31"/>
      <c r="I47" s="31"/>
      <c r="J47" s="31"/>
      <c r="K47" s="31"/>
    </row>
    <row r="48" spans="1:11" ht="15.75" customHeight="1">
      <c r="A48" s="31"/>
      <c r="B48" s="189"/>
      <c r="C48" s="194"/>
      <c r="D48" s="194"/>
      <c r="E48" s="194"/>
      <c r="F48" s="194"/>
      <c r="G48" s="194"/>
      <c r="H48" s="31"/>
      <c r="I48" s="31"/>
      <c r="J48" s="31"/>
      <c r="K48" s="31"/>
    </row>
    <row r="49" spans="1:11" ht="15.75" customHeight="1">
      <c r="A49" s="31"/>
      <c r="B49" s="31"/>
      <c r="C49" s="194"/>
      <c r="D49" s="194"/>
      <c r="E49" s="194"/>
      <c r="F49" s="194"/>
      <c r="G49" s="194"/>
      <c r="H49" s="31"/>
      <c r="I49" s="31"/>
      <c r="J49" s="31"/>
      <c r="K49" s="31"/>
    </row>
    <row r="50" spans="1:11" ht="15.75" customHeight="1">
      <c r="A50" s="31"/>
      <c r="B50" s="31"/>
      <c r="C50" s="193"/>
      <c r="D50" s="193"/>
      <c r="E50" s="192"/>
      <c r="F50" s="31"/>
      <c r="G50" s="28"/>
      <c r="H50" s="31"/>
      <c r="I50" s="31"/>
      <c r="J50" s="31"/>
      <c r="K50" s="31"/>
    </row>
    <row r="51" spans="1:11" ht="15.75" customHeight="1">
      <c r="A51" s="31"/>
      <c r="B51" s="31"/>
      <c r="C51" s="193"/>
      <c r="D51" s="193"/>
      <c r="E51" s="192"/>
      <c r="F51" s="31"/>
      <c r="G51" s="28"/>
      <c r="H51" s="31"/>
      <c r="I51" s="31"/>
      <c r="J51" s="31"/>
      <c r="K51" s="31"/>
    </row>
    <row r="52" spans="1:11" ht="15.75" customHeight="1">
      <c r="A52" s="31"/>
      <c r="B52" s="174"/>
      <c r="C52" s="193"/>
      <c r="D52" s="193"/>
      <c r="E52" s="192"/>
      <c r="F52" s="31"/>
      <c r="G52" s="28"/>
      <c r="H52" s="31"/>
      <c r="I52" s="31"/>
      <c r="J52" s="31"/>
      <c r="K52" s="31"/>
    </row>
    <row r="53" spans="1:11" ht="15.75" customHeight="1">
      <c r="A53" s="31"/>
      <c r="B53" s="194"/>
      <c r="C53" s="193"/>
      <c r="D53" s="193"/>
      <c r="E53" s="192"/>
      <c r="F53" s="31"/>
      <c r="G53" s="28"/>
      <c r="H53" s="31"/>
      <c r="I53" s="31"/>
      <c r="J53" s="31"/>
      <c r="K53" s="31"/>
    </row>
    <row r="54" spans="1:11" ht="15.75" customHeight="1">
      <c r="A54" s="31"/>
      <c r="B54" s="194"/>
      <c r="C54" s="193"/>
      <c r="D54" s="193"/>
      <c r="E54" s="192"/>
      <c r="F54" s="31"/>
      <c r="G54" s="28"/>
      <c r="H54" s="31"/>
      <c r="I54" s="31"/>
      <c r="J54" s="31"/>
      <c r="K54" s="31"/>
    </row>
    <row r="55" spans="1:11" ht="15.75" customHeight="1">
      <c r="A55" s="31"/>
      <c r="B55" s="194"/>
      <c r="C55" s="193"/>
      <c r="D55" s="193"/>
      <c r="E55" s="192"/>
      <c r="F55" s="31"/>
      <c r="G55" s="28"/>
      <c r="H55" s="31"/>
      <c r="I55" s="31"/>
      <c r="J55" s="31"/>
      <c r="K55" s="31"/>
    </row>
    <row r="56" spans="1:11" ht="15.75" customHeight="1">
      <c r="A56" s="31"/>
      <c r="B56" s="31"/>
      <c r="C56" s="193"/>
      <c r="D56" s="193"/>
      <c r="E56" s="192"/>
      <c r="F56" s="31"/>
      <c r="G56" s="28"/>
      <c r="H56" s="31"/>
      <c r="I56" s="31"/>
      <c r="J56" s="31"/>
      <c r="K56" s="31"/>
    </row>
    <row r="57" spans="1:11" ht="15.75" customHeight="1">
      <c r="A57" s="31"/>
      <c r="B57" s="31"/>
      <c r="C57" s="193"/>
      <c r="D57" s="193"/>
      <c r="E57" s="192"/>
      <c r="F57" s="31"/>
      <c r="G57" s="28"/>
      <c r="H57" s="31"/>
      <c r="I57" s="31"/>
      <c r="J57" s="31"/>
      <c r="K57" s="31"/>
    </row>
    <row r="58" spans="1:11" ht="15.75" customHeight="1">
      <c r="A58" s="31"/>
      <c r="B58" s="31"/>
      <c r="C58" s="193"/>
      <c r="D58" s="193"/>
      <c r="E58" s="192"/>
      <c r="F58" s="31"/>
      <c r="G58" s="28"/>
      <c r="H58" s="31"/>
      <c r="I58" s="31"/>
      <c r="J58" s="31"/>
      <c r="K58" s="31"/>
    </row>
    <row r="59" spans="1:11" ht="15.75" customHeight="1">
      <c r="A59" s="31"/>
      <c r="B59" s="31"/>
      <c r="C59" s="193"/>
      <c r="D59" s="193"/>
      <c r="E59" s="192"/>
      <c r="F59" s="31"/>
      <c r="G59" s="28"/>
      <c r="H59" s="31"/>
      <c r="I59" s="31"/>
      <c r="J59" s="31"/>
      <c r="K59" s="31"/>
    </row>
    <row r="60" spans="1:11" ht="15.75" customHeight="1">
      <c r="A60" s="31"/>
      <c r="B60" s="31"/>
      <c r="C60" s="193"/>
      <c r="D60" s="193"/>
      <c r="E60" s="192"/>
      <c r="F60" s="31"/>
      <c r="G60" s="28"/>
      <c r="H60" s="31"/>
      <c r="I60" s="31"/>
      <c r="J60" s="31"/>
      <c r="K60" s="31"/>
    </row>
    <row r="61" spans="1:11" ht="15.75" customHeight="1">
      <c r="A61" s="31"/>
      <c r="B61" s="31"/>
      <c r="C61" s="193"/>
      <c r="D61" s="193"/>
      <c r="E61" s="192"/>
      <c r="F61" s="31"/>
      <c r="G61" s="28"/>
      <c r="H61" s="31"/>
      <c r="I61" s="31"/>
      <c r="J61" s="31"/>
      <c r="K61" s="31"/>
    </row>
    <row r="62" spans="1:11" ht="15.75" customHeight="1">
      <c r="A62" s="31"/>
      <c r="B62" s="31"/>
      <c r="C62" s="193"/>
      <c r="D62" s="193"/>
      <c r="E62" s="192"/>
      <c r="F62" s="31"/>
      <c r="G62" s="28"/>
      <c r="H62" s="31"/>
      <c r="I62" s="31"/>
      <c r="J62" s="31"/>
      <c r="K62" s="31"/>
    </row>
    <row r="63" spans="1:11" ht="15.75" customHeight="1">
      <c r="A63" s="31"/>
      <c r="B63" s="31"/>
      <c r="C63" s="193"/>
      <c r="D63" s="193"/>
      <c r="E63" s="192"/>
      <c r="F63" s="31"/>
      <c r="G63" s="28"/>
      <c r="H63" s="31"/>
      <c r="I63" s="31"/>
      <c r="J63" s="31"/>
      <c r="K63" s="31"/>
    </row>
    <row r="64" spans="1:11" ht="15.75" customHeight="1">
      <c r="A64" s="31"/>
      <c r="B64" s="31"/>
      <c r="C64" s="193"/>
      <c r="D64" s="193"/>
      <c r="E64" s="192"/>
      <c r="F64" s="31"/>
      <c r="G64" s="28"/>
      <c r="H64" s="31"/>
      <c r="I64" s="31"/>
      <c r="J64" s="31"/>
      <c r="K64" s="31"/>
    </row>
    <row r="65" spans="1:11" ht="15.75" customHeight="1">
      <c r="A65" s="31"/>
      <c r="B65" s="31"/>
      <c r="C65" s="193"/>
      <c r="D65" s="193"/>
      <c r="E65" s="192"/>
      <c r="F65" s="31"/>
      <c r="G65" s="28"/>
      <c r="H65" s="31"/>
      <c r="I65" s="31"/>
      <c r="J65" s="31"/>
      <c r="K65" s="31"/>
    </row>
    <row r="66" spans="1:11" ht="15.75" customHeight="1">
      <c r="A66" s="31"/>
      <c r="B66" s="31"/>
      <c r="C66" s="193"/>
      <c r="D66" s="193"/>
      <c r="E66" s="192"/>
      <c r="F66" s="31"/>
      <c r="G66" s="28"/>
      <c r="H66" s="31"/>
      <c r="I66" s="31"/>
      <c r="J66" s="31"/>
      <c r="K66" s="31"/>
    </row>
    <row r="67" spans="1:11" ht="15.75" customHeight="1">
      <c r="A67" s="31"/>
      <c r="B67" s="31"/>
      <c r="C67" s="193"/>
      <c r="D67" s="193"/>
      <c r="E67" s="192"/>
      <c r="F67" s="31"/>
      <c r="G67" s="28"/>
      <c r="H67" s="31"/>
      <c r="I67" s="31"/>
      <c r="J67" s="31"/>
      <c r="K67" s="31"/>
    </row>
    <row r="68" spans="1:11" ht="15.75" customHeight="1">
      <c r="A68" s="31"/>
      <c r="B68" s="31"/>
      <c r="C68" s="193"/>
      <c r="D68" s="193"/>
      <c r="E68" s="192"/>
      <c r="F68" s="31"/>
      <c r="G68" s="28"/>
      <c r="H68" s="31"/>
      <c r="I68" s="31"/>
      <c r="J68" s="31"/>
      <c r="K68" s="31"/>
    </row>
    <row r="69" spans="1:11" ht="15.75" customHeight="1">
      <c r="A69" s="31"/>
      <c r="B69" s="31"/>
      <c r="C69" s="193"/>
      <c r="D69" s="193"/>
      <c r="E69" s="192"/>
      <c r="F69" s="31"/>
      <c r="G69" s="28"/>
      <c r="H69" s="31"/>
      <c r="I69" s="31"/>
      <c r="J69" s="31"/>
      <c r="K69" s="31"/>
    </row>
    <row r="70" spans="1:11" ht="15.75" customHeight="1">
      <c r="A70" s="31"/>
      <c r="B70" s="31"/>
      <c r="C70" s="193"/>
      <c r="D70" s="193"/>
      <c r="E70" s="192"/>
      <c r="F70" s="31"/>
      <c r="G70" s="28"/>
      <c r="H70" s="31"/>
      <c r="I70" s="31"/>
      <c r="J70" s="31"/>
      <c r="K70" s="31"/>
    </row>
    <row r="71" spans="1:11" ht="15.75" customHeight="1">
      <c r="A71" s="31"/>
      <c r="B71" s="31"/>
      <c r="C71" s="193"/>
      <c r="D71" s="193"/>
      <c r="E71" s="192"/>
      <c r="F71" s="31"/>
      <c r="G71" s="28"/>
      <c r="H71" s="31"/>
      <c r="I71" s="31"/>
      <c r="J71" s="31"/>
      <c r="K71" s="31"/>
    </row>
    <row r="72" spans="1:11" ht="15.75" customHeight="1">
      <c r="A72" s="31"/>
      <c r="B72" s="31"/>
      <c r="C72" s="193"/>
      <c r="D72" s="193"/>
      <c r="E72" s="192"/>
      <c r="F72" s="31"/>
      <c r="G72" s="28"/>
      <c r="H72" s="31"/>
      <c r="I72" s="31"/>
      <c r="J72" s="31"/>
      <c r="K72" s="31"/>
    </row>
    <row r="73" spans="1:11" ht="15.75" customHeight="1">
      <c r="A73" s="31"/>
      <c r="B73" s="31"/>
      <c r="C73" s="193"/>
      <c r="D73" s="193"/>
      <c r="E73" s="192"/>
      <c r="F73" s="31"/>
      <c r="G73" s="28"/>
      <c r="H73" s="31"/>
      <c r="I73" s="31"/>
      <c r="J73" s="31"/>
      <c r="K73" s="31"/>
    </row>
    <row r="74" spans="1:11" ht="15.75" customHeight="1">
      <c r="A74" s="31"/>
      <c r="B74" s="31"/>
      <c r="C74" s="193"/>
      <c r="D74" s="193"/>
      <c r="E74" s="192"/>
      <c r="F74" s="31"/>
      <c r="G74" s="28"/>
      <c r="H74" s="31"/>
      <c r="I74" s="31"/>
      <c r="J74" s="31"/>
      <c r="K74" s="31"/>
    </row>
    <row r="75" spans="1:11" ht="15.75" customHeight="1">
      <c r="A75" s="31"/>
      <c r="B75" s="31"/>
      <c r="C75" s="193"/>
      <c r="D75" s="193"/>
      <c r="E75" s="192"/>
      <c r="F75" s="31"/>
      <c r="G75" s="28"/>
      <c r="H75" s="31"/>
      <c r="I75" s="31"/>
      <c r="J75" s="31"/>
      <c r="K75" s="31"/>
    </row>
    <row r="76" spans="1:11" ht="15.75" customHeight="1">
      <c r="A76" s="31"/>
      <c r="B76" s="31"/>
      <c r="C76" s="193"/>
      <c r="D76" s="193"/>
      <c r="E76" s="192"/>
      <c r="F76" s="31"/>
      <c r="G76" s="28"/>
      <c r="H76" s="31"/>
      <c r="I76" s="31"/>
      <c r="J76" s="31"/>
      <c r="K76" s="31"/>
    </row>
    <row r="77" spans="1:11" ht="15.75" customHeight="1">
      <c r="A77" s="31"/>
      <c r="B77" s="31"/>
      <c r="C77" s="193"/>
      <c r="D77" s="193"/>
      <c r="E77" s="192"/>
      <c r="F77" s="31"/>
      <c r="G77" s="28"/>
      <c r="H77" s="31"/>
      <c r="I77" s="31"/>
      <c r="J77" s="31"/>
      <c r="K77" s="31"/>
    </row>
    <row r="78" spans="1:11" ht="15.75" customHeight="1">
      <c r="A78" s="31"/>
      <c r="B78" s="31"/>
      <c r="C78" s="193"/>
      <c r="D78" s="193"/>
      <c r="E78" s="192"/>
      <c r="F78" s="31"/>
      <c r="G78" s="28"/>
      <c r="H78" s="31"/>
      <c r="I78" s="31"/>
      <c r="J78" s="31"/>
      <c r="K78" s="31"/>
    </row>
    <row r="79" spans="1:11" ht="15.75" customHeight="1">
      <c r="A79" s="31"/>
      <c r="B79" s="31"/>
      <c r="C79" s="193"/>
      <c r="D79" s="193"/>
      <c r="E79" s="192"/>
      <c r="F79" s="31"/>
      <c r="G79" s="28"/>
      <c r="H79" s="31"/>
      <c r="I79" s="31"/>
      <c r="J79" s="31"/>
      <c r="K79" s="31"/>
    </row>
    <row r="80" spans="1:11" ht="15.75" customHeight="1">
      <c r="A80" s="31"/>
      <c r="B80" s="31"/>
      <c r="C80" s="193"/>
      <c r="D80" s="193"/>
      <c r="E80" s="192"/>
      <c r="F80" s="31"/>
      <c r="G80" s="28"/>
      <c r="H80" s="31"/>
      <c r="I80" s="31"/>
      <c r="J80" s="31"/>
      <c r="K80" s="31"/>
    </row>
    <row r="81" spans="1:11" ht="15.75" customHeight="1">
      <c r="A81" s="31"/>
      <c r="B81" s="31"/>
      <c r="C81" s="193"/>
      <c r="D81" s="193"/>
      <c r="E81" s="192"/>
      <c r="F81" s="31"/>
      <c r="G81" s="28"/>
      <c r="H81" s="31"/>
      <c r="I81" s="31"/>
      <c r="J81" s="31"/>
      <c r="K81" s="31"/>
    </row>
    <row r="82" spans="1:11" ht="15.75" customHeight="1">
      <c r="A82" s="31"/>
      <c r="B82" s="31"/>
      <c r="C82" s="193"/>
      <c r="D82" s="193"/>
      <c r="E82" s="192"/>
      <c r="F82" s="31"/>
      <c r="G82" s="28"/>
      <c r="H82" s="31"/>
      <c r="I82" s="31"/>
      <c r="J82" s="31"/>
      <c r="K82" s="31"/>
    </row>
    <row r="83" spans="1:11" ht="15.75" customHeight="1">
      <c r="A83" s="31"/>
      <c r="B83" s="31"/>
      <c r="C83" s="193"/>
      <c r="D83" s="193"/>
      <c r="E83" s="192"/>
      <c r="F83" s="31"/>
      <c r="G83" s="28"/>
      <c r="H83" s="31"/>
      <c r="I83" s="31"/>
      <c r="J83" s="31"/>
      <c r="K83" s="31"/>
    </row>
    <row r="84" spans="1:11" ht="15.75" customHeight="1">
      <c r="A84" s="31"/>
      <c r="B84" s="31"/>
      <c r="C84" s="193"/>
      <c r="D84" s="193"/>
      <c r="E84" s="192"/>
      <c r="F84" s="31"/>
      <c r="G84" s="28"/>
      <c r="H84" s="31"/>
      <c r="I84" s="31"/>
      <c r="J84" s="31"/>
      <c r="K84" s="31"/>
    </row>
    <row r="85" spans="1:11" ht="15.75" customHeight="1">
      <c r="A85" s="31"/>
      <c r="B85" s="31"/>
      <c r="C85" s="193"/>
      <c r="D85" s="193"/>
      <c r="E85" s="192"/>
      <c r="F85" s="31"/>
      <c r="G85" s="28"/>
      <c r="H85" s="31"/>
      <c r="I85" s="31"/>
      <c r="J85" s="31"/>
      <c r="K85" s="31"/>
    </row>
    <row r="86" spans="1:11" ht="15.75" customHeight="1">
      <c r="A86" s="31"/>
      <c r="B86" s="31"/>
      <c r="C86" s="193"/>
      <c r="D86" s="193"/>
      <c r="E86" s="192"/>
      <c r="F86" s="31"/>
      <c r="G86" s="28"/>
      <c r="H86" s="31"/>
      <c r="I86" s="31"/>
      <c r="J86" s="31"/>
      <c r="K86" s="31"/>
    </row>
    <row r="87" spans="1:11" ht="15.75" customHeight="1">
      <c r="A87" s="31"/>
      <c r="B87" s="31"/>
      <c r="C87" s="193"/>
      <c r="D87" s="193"/>
      <c r="E87" s="192"/>
      <c r="F87" s="31"/>
      <c r="G87" s="28"/>
      <c r="H87" s="31"/>
      <c r="I87" s="31"/>
      <c r="J87" s="31"/>
      <c r="K87" s="31"/>
    </row>
    <row r="88" spans="1:11" ht="15.75" customHeight="1">
      <c r="A88" s="31"/>
      <c r="B88" s="31"/>
      <c r="C88" s="193"/>
      <c r="D88" s="193"/>
      <c r="E88" s="192"/>
      <c r="F88" s="31"/>
      <c r="G88" s="28"/>
      <c r="H88" s="31"/>
      <c r="I88" s="31"/>
      <c r="J88" s="31"/>
      <c r="K88" s="31"/>
    </row>
    <row r="89" spans="1:11" ht="15.75" customHeight="1">
      <c r="A89" s="31"/>
      <c r="B89" s="31"/>
      <c r="C89" s="193"/>
      <c r="D89" s="193"/>
      <c r="E89" s="192"/>
      <c r="F89" s="31"/>
      <c r="G89" s="28"/>
      <c r="H89" s="31"/>
      <c r="I89" s="31"/>
      <c r="J89" s="31"/>
      <c r="K89" s="31"/>
    </row>
    <row r="90" spans="1:11" ht="15.75" customHeight="1">
      <c r="A90" s="31"/>
      <c r="B90" s="31"/>
      <c r="C90" s="193"/>
      <c r="D90" s="193"/>
      <c r="E90" s="192"/>
      <c r="F90" s="31"/>
      <c r="G90" s="28"/>
      <c r="H90" s="31"/>
      <c r="I90" s="31"/>
      <c r="J90" s="31"/>
      <c r="K90" s="31"/>
    </row>
    <row r="91" spans="1:11" ht="15.75" customHeight="1">
      <c r="A91" s="31"/>
      <c r="B91" s="31"/>
      <c r="C91" s="193"/>
      <c r="D91" s="193"/>
      <c r="E91" s="192"/>
      <c r="F91" s="31"/>
      <c r="G91" s="28"/>
      <c r="H91" s="31"/>
      <c r="I91" s="31"/>
      <c r="J91" s="31"/>
      <c r="K91" s="31"/>
    </row>
    <row r="92" spans="1:11" ht="15.75" customHeight="1">
      <c r="A92" s="31"/>
      <c r="B92" s="31"/>
      <c r="C92" s="193"/>
      <c r="D92" s="193"/>
      <c r="E92" s="192"/>
      <c r="F92" s="31"/>
      <c r="G92" s="28"/>
      <c r="H92" s="31"/>
      <c r="I92" s="31"/>
      <c r="J92" s="31"/>
      <c r="K92" s="31"/>
    </row>
    <row r="93" spans="1:11" ht="15.75" customHeight="1">
      <c r="A93" s="31"/>
      <c r="B93" s="31"/>
      <c r="C93" s="193"/>
      <c r="D93" s="193"/>
      <c r="E93" s="192"/>
      <c r="F93" s="31"/>
      <c r="G93" s="28"/>
      <c r="H93" s="31"/>
      <c r="I93" s="31"/>
      <c r="J93" s="31"/>
      <c r="K93" s="31"/>
    </row>
    <row r="94" spans="1:11" ht="15.75" customHeight="1">
      <c r="A94" s="31"/>
      <c r="B94" s="31"/>
      <c r="C94" s="193"/>
      <c r="D94" s="193"/>
      <c r="E94" s="192"/>
      <c r="F94" s="31"/>
      <c r="G94" s="28"/>
      <c r="H94" s="31"/>
      <c r="I94" s="31"/>
      <c r="J94" s="31"/>
      <c r="K94" s="31"/>
    </row>
    <row r="95" spans="1:11" ht="15.75" customHeight="1">
      <c r="A95" s="31"/>
      <c r="B95" s="31"/>
      <c r="C95" s="193"/>
      <c r="D95" s="193"/>
      <c r="E95" s="192"/>
      <c r="F95" s="31"/>
      <c r="G95" s="28"/>
      <c r="H95" s="31"/>
      <c r="I95" s="31"/>
      <c r="J95" s="31"/>
      <c r="K95" s="31"/>
    </row>
    <row r="96" spans="1:11" ht="15.75" customHeight="1">
      <c r="A96" s="31"/>
      <c r="B96" s="31"/>
      <c r="C96" s="193"/>
      <c r="D96" s="193"/>
      <c r="E96" s="192"/>
      <c r="F96" s="31"/>
      <c r="G96" s="28"/>
      <c r="H96" s="31"/>
      <c r="I96" s="31"/>
      <c r="J96" s="31"/>
      <c r="K96" s="31"/>
    </row>
    <row r="97" spans="1:11" ht="15.75" customHeight="1">
      <c r="A97" s="31"/>
      <c r="B97" s="31"/>
      <c r="C97" s="193"/>
      <c r="D97" s="193"/>
      <c r="E97" s="192"/>
      <c r="F97" s="31"/>
      <c r="G97" s="28"/>
      <c r="H97" s="31"/>
      <c r="I97" s="31"/>
      <c r="J97" s="31"/>
      <c r="K97" s="31"/>
    </row>
    <row r="98" spans="1:11" ht="15.75" customHeight="1">
      <c r="A98" s="31"/>
      <c r="B98" s="31"/>
      <c r="C98" s="193"/>
      <c r="D98" s="193"/>
      <c r="E98" s="192"/>
      <c r="F98" s="31"/>
      <c r="G98" s="28"/>
      <c r="H98" s="31"/>
      <c r="I98" s="31"/>
      <c r="J98" s="31"/>
      <c r="K98" s="31"/>
    </row>
    <row r="99" spans="1:11" ht="15.75" customHeight="1">
      <c r="A99" s="31"/>
      <c r="B99" s="31"/>
      <c r="C99" s="193"/>
      <c r="D99" s="193"/>
      <c r="E99" s="192"/>
      <c r="F99" s="31"/>
      <c r="G99" s="28"/>
      <c r="H99" s="31"/>
      <c r="I99" s="31"/>
      <c r="J99" s="31"/>
      <c r="K99" s="31"/>
    </row>
    <row r="100" spans="1:11" ht="15.75" customHeight="1">
      <c r="A100" s="31"/>
      <c r="B100" s="31"/>
      <c r="C100" s="193"/>
      <c r="D100" s="193"/>
      <c r="E100" s="192"/>
      <c r="F100" s="31"/>
      <c r="G100" s="28"/>
      <c r="H100" s="31"/>
      <c r="I100" s="31"/>
      <c r="J100" s="31"/>
      <c r="K100" s="31"/>
    </row>
  </sheetData>
  <mergeCells count="11">
    <mergeCell ref="A21:G21"/>
    <mergeCell ref="A35:G35"/>
    <mergeCell ref="A36:G36"/>
    <mergeCell ref="B1:G1"/>
    <mergeCell ref="B2:G2"/>
    <mergeCell ref="B3:G3"/>
    <mergeCell ref="A4:G4"/>
    <mergeCell ref="A6:G6"/>
    <mergeCell ref="D7:E7"/>
    <mergeCell ref="F7:G7"/>
    <mergeCell ref="A5:G5"/>
  </mergeCells>
  <pageMargins left="0.6692913385826772" right="0.51181102362204722" top="0.78740157480314965" bottom="0.78740157480314965" header="0" footer="0"/>
  <pageSetup paperSize="9"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9FC0AFE82DC4B9F240B1C95025234" ma:contentTypeVersion="16" ma:contentTypeDescription="Create a new document." ma:contentTypeScope="" ma:versionID="230be4e4e1afeb22a2189b9e816d1a7b">
  <xsd:schema xmlns:xsd="http://www.w3.org/2001/XMLSchema" xmlns:xs="http://www.w3.org/2001/XMLSchema" xmlns:p="http://schemas.microsoft.com/office/2006/metadata/properties" xmlns:ns3="e5b6ab70-2d18-4db1-87f3-ea948d30e32a" xmlns:ns4="d36d838e-0b17-4d0f-8e11-311f2cae3307" targetNamespace="http://schemas.microsoft.com/office/2006/metadata/properties" ma:root="true" ma:fieldsID="a4791a0ec486a6b8f96778383a8a9c02" ns3:_="" ns4:_="">
    <xsd:import namespace="e5b6ab70-2d18-4db1-87f3-ea948d30e32a"/>
    <xsd:import namespace="d36d838e-0b17-4d0f-8e11-311f2cae3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6ab70-2d18-4db1-87f3-ea948d30e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d838e-0b17-4d0f-8e11-311f2cae3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b6ab70-2d18-4db1-87f3-ea948d30e32a" xsi:nil="true"/>
  </documentManagement>
</p:properties>
</file>

<file path=customXml/itemProps1.xml><?xml version="1.0" encoding="utf-8"?>
<ds:datastoreItem xmlns:ds="http://schemas.openxmlformats.org/officeDocument/2006/customXml" ds:itemID="{082A9FCE-B55E-4809-BEE1-3F0637391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6ab70-2d18-4db1-87f3-ea948d30e32a"/>
    <ds:schemaRef ds:uri="d36d838e-0b17-4d0f-8e11-311f2cae3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F15CD8-115D-4DE0-A781-3C92EF2C6D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A73E08-CE28-4FE7-914B-CC19AF74C91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d36d838e-0b17-4d0f-8e11-311f2cae3307"/>
    <ds:schemaRef ds:uri="e5b6ab70-2d18-4db1-87f3-ea948d30e32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ORÇAMENTO (2)</vt:lpstr>
      <vt:lpstr>ORÇAMENTO</vt:lpstr>
      <vt:lpstr>MEMÓRIA CALC 2</vt:lpstr>
      <vt:lpstr>RASCUNHO QUANT</vt:lpstr>
      <vt:lpstr>COMPOSIÇÕES (2)</vt:lpstr>
      <vt:lpstr>CRONOGRAMA (2)</vt:lpstr>
      <vt:lpstr>BDI DESONERADO</vt:lpstr>
      <vt:lpstr>BDI NÃO DESONERADO</vt:lpstr>
      <vt:lpstr>'BDI DESONERADO'!Area_de_impressao</vt:lpstr>
      <vt:lpstr>'BDI NÃO DESONERADO'!Area_de_impressao</vt:lpstr>
      <vt:lpstr>'COMPOSIÇÕES (2)'!Area_de_impressao</vt:lpstr>
      <vt:lpstr>'CRONOGRAMA (2)'!Area_de_impressao</vt:lpstr>
      <vt:lpstr>'MEMÓRIA CALC 2'!Area_de_impressao</vt:lpstr>
      <vt:lpstr>ORÇAMENTO!Area_de_impressao</vt:lpstr>
      <vt:lpstr>'ORÇAMENTO (2)'!Area_de_impressao</vt:lpstr>
      <vt:lpstr>'COMPOSIÇÕES (2)'!Titulos_de_impressao</vt:lpstr>
      <vt:lpstr>'CRONOGRAMA (2)'!Titulos_de_impressao</vt:lpstr>
      <vt:lpstr>'MEMÓRIA CALC 2'!Titulos_de_impressao</vt:lpstr>
      <vt:lpstr>ORÇAMENTO!Titulos_de_impressao</vt:lpstr>
      <vt:lpstr>'ORÇAMENTO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Catrina Fernandes</cp:lastModifiedBy>
  <cp:revision>0</cp:revision>
  <cp:lastPrinted>2023-06-14T19:03:30Z</cp:lastPrinted>
  <dcterms:created xsi:type="dcterms:W3CDTF">2020-01-15T12:39:56Z</dcterms:created>
  <dcterms:modified xsi:type="dcterms:W3CDTF">2023-06-14T19:04:41Z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0x010100F209FC0AFE82DC4B9F240B1C95025234</vt:lpwstr>
  </property>
</Properties>
</file>