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academicoifrnedu.sharepoint.com/sites/DIADCN/Shared Documents/General/DIADCN/COMPRAS/COMPRAS 2023/Limpeza/"/>
    </mc:Choice>
  </mc:AlternateContent>
  <xr:revisionPtr revIDLastSave="1" documentId="13_ncr:1_{054ED588-4BDA-4D08-B6CE-130748E7A0C2}" xr6:coauthVersionLast="47" xr6:coauthVersionMax="47" xr10:uidLastSave="{F232AFF7-FDE9-4DFD-97D8-F7EE40D79470}"/>
  <bookViews>
    <workbookView xWindow="-120" yWindow="-120" windowWidth="29040" windowHeight="15840" tabRatio="934" firstSheet="9" activeTab="4" xr2:uid="{00000000-000D-0000-FFFF-FFFF00000000}"/>
  </bookViews>
  <sheets>
    <sheet name="Resumo" sheetId="9" r:id="rId1"/>
    <sheet name="Servente com insumos" sheetId="4" r:id="rId2"/>
    <sheet name="Servente com insalubridade" sheetId="17" r:id="rId3"/>
    <sheet name="servente Sem insumos" sheetId="13" state="hidden" r:id="rId4"/>
    <sheet name="INSUMOS" sheetId="23" r:id="rId5"/>
    <sheet name="Encarregado" sheetId="15" r:id="rId6"/>
    <sheet name="encarregado sem insumos" sheetId="16" state="hidden" r:id="rId7"/>
    <sheet name="Quantidade de Serventes" sheetId="7" state="hidden" r:id="rId8"/>
    <sheet name="Memórias de Cálculo" sheetId="6" state="hidden" r:id="rId9"/>
    <sheet name="Planilha3" sheetId="14" state="hidden" r:id="rId10"/>
    <sheet name="Valor unit por m2" sheetId="19" r:id="rId11"/>
    <sheet name="Sem insumos" sheetId="22" state="hidden" r:id="rId12"/>
    <sheet name="Pesquisa de preços" sheetId="24"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9" l="1"/>
  <c r="E5" i="9"/>
  <c r="E4" i="9"/>
  <c r="E3" i="9"/>
  <c r="F28" i="19"/>
  <c r="F27" i="19"/>
  <c r="F26" i="19"/>
  <c r="F25" i="19"/>
  <c r="G10" i="23"/>
  <c r="L131" i="23"/>
  <c r="G8" i="24"/>
  <c r="F25" i="23"/>
  <c r="F26" i="23"/>
  <c r="F27" i="23"/>
  <c r="F28" i="23"/>
  <c r="F24" i="23"/>
  <c r="O100" i="24"/>
  <c r="N100" i="24"/>
  <c r="M100" i="24"/>
  <c r="L100" i="24"/>
  <c r="K100" i="24"/>
  <c r="O99" i="24"/>
  <c r="N99" i="24"/>
  <c r="M99" i="24"/>
  <c r="L99" i="24"/>
  <c r="K99" i="24"/>
  <c r="O98" i="24"/>
  <c r="N98" i="24"/>
  <c r="M98" i="24"/>
  <c r="L98" i="24"/>
  <c r="K98" i="24"/>
  <c r="M95" i="24"/>
  <c r="N95" i="24"/>
  <c r="O95" i="24"/>
  <c r="L95" i="24"/>
  <c r="K95" i="24"/>
  <c r="M39" i="24"/>
  <c r="N39" i="24"/>
  <c r="O39" i="24"/>
  <c r="L39" i="24"/>
  <c r="P39" i="24"/>
  <c r="K39" i="24"/>
  <c r="I77" i="4"/>
  <c r="I78" i="4"/>
  <c r="I79" i="4"/>
  <c r="I80" i="4"/>
  <c r="I81" i="4"/>
  <c r="I76" i="4"/>
  <c r="I71" i="4"/>
  <c r="I70" i="4"/>
  <c r="I69" i="4"/>
  <c r="I68" i="4"/>
  <c r="H67" i="4"/>
  <c r="P100" i="24" l="1"/>
  <c r="P95" i="24"/>
  <c r="P99" i="24"/>
  <c r="P98" i="24"/>
  <c r="I67" i="4"/>
  <c r="I66" i="4"/>
  <c r="S127" i="24" l="1"/>
  <c r="O127" i="24"/>
  <c r="N127" i="24"/>
  <c r="M127" i="24"/>
  <c r="L127" i="24"/>
  <c r="K127" i="24"/>
  <c r="S126" i="24"/>
  <c r="O126" i="24"/>
  <c r="N126" i="24"/>
  <c r="M126" i="24"/>
  <c r="L126" i="24"/>
  <c r="K126" i="24"/>
  <c r="S125" i="24"/>
  <c r="O125" i="24"/>
  <c r="N125" i="24"/>
  <c r="M125" i="24"/>
  <c r="L125" i="24"/>
  <c r="K125" i="24"/>
  <c r="S124" i="24"/>
  <c r="O124" i="24"/>
  <c r="N124" i="24"/>
  <c r="M124" i="24"/>
  <c r="L124" i="24"/>
  <c r="K124" i="24"/>
  <c r="S123" i="24"/>
  <c r="T123" i="24" s="1"/>
  <c r="O123" i="24"/>
  <c r="N123" i="24"/>
  <c r="M123" i="24"/>
  <c r="L123" i="24"/>
  <c r="K123" i="24"/>
  <c r="S122" i="24"/>
  <c r="P122" i="24"/>
  <c r="O122" i="24"/>
  <c r="N122" i="24"/>
  <c r="M122" i="24"/>
  <c r="L122" i="24"/>
  <c r="L121" i="24"/>
  <c r="G121" i="24"/>
  <c r="A119" i="24"/>
  <c r="S112" i="24"/>
  <c r="O112" i="24"/>
  <c r="N112" i="24"/>
  <c r="M112" i="24"/>
  <c r="L112" i="24"/>
  <c r="K112" i="24"/>
  <c r="S111" i="24"/>
  <c r="O111" i="24"/>
  <c r="N111" i="24"/>
  <c r="M111" i="24"/>
  <c r="L111" i="24"/>
  <c r="K111" i="24"/>
  <c r="S110" i="24"/>
  <c r="O110" i="24"/>
  <c r="N110" i="24"/>
  <c r="M110" i="24"/>
  <c r="L110" i="24"/>
  <c r="P110" i="24" s="1"/>
  <c r="K110" i="24"/>
  <c r="S109" i="24"/>
  <c r="O109" i="24"/>
  <c r="N109" i="24"/>
  <c r="M109" i="24"/>
  <c r="L109" i="24"/>
  <c r="K109" i="24"/>
  <c r="S108" i="24"/>
  <c r="O108" i="24"/>
  <c r="N108" i="24"/>
  <c r="M108" i="24"/>
  <c r="L108" i="24"/>
  <c r="K108" i="24"/>
  <c r="S107" i="24"/>
  <c r="O107" i="24"/>
  <c r="N107" i="24"/>
  <c r="M107" i="24"/>
  <c r="L107" i="24"/>
  <c r="K107" i="24"/>
  <c r="S106" i="24"/>
  <c r="O106" i="24"/>
  <c r="N106" i="24"/>
  <c r="M106" i="24"/>
  <c r="L106" i="24"/>
  <c r="P106" i="24" s="1"/>
  <c r="K106" i="24"/>
  <c r="S105" i="24"/>
  <c r="O105" i="24"/>
  <c r="N105" i="24"/>
  <c r="M105" i="24"/>
  <c r="L105" i="24"/>
  <c r="K105" i="24"/>
  <c r="S104" i="24"/>
  <c r="O104" i="24"/>
  <c r="N104" i="24"/>
  <c r="M104" i="24"/>
  <c r="L104" i="24"/>
  <c r="P104" i="24" s="1"/>
  <c r="K104" i="24"/>
  <c r="S103" i="24"/>
  <c r="O103" i="24"/>
  <c r="N103" i="24"/>
  <c r="M103" i="24"/>
  <c r="L103" i="24"/>
  <c r="K103" i="24"/>
  <c r="S102" i="24"/>
  <c r="O102" i="24"/>
  <c r="N102" i="24"/>
  <c r="M102" i="24"/>
  <c r="L102" i="24"/>
  <c r="P102" i="24" s="1"/>
  <c r="K102" i="24"/>
  <c r="S101" i="24"/>
  <c r="O101" i="24"/>
  <c r="N101" i="24"/>
  <c r="M101" i="24"/>
  <c r="L101" i="24"/>
  <c r="K101" i="24"/>
  <c r="S97" i="24"/>
  <c r="O97" i="24"/>
  <c r="N97" i="24"/>
  <c r="M97" i="24"/>
  <c r="L97" i="24"/>
  <c r="P97" i="24" s="1"/>
  <c r="K97" i="24"/>
  <c r="S96" i="24"/>
  <c r="O96" i="24"/>
  <c r="N96" i="24"/>
  <c r="M96" i="24"/>
  <c r="L96" i="24"/>
  <c r="K96" i="24"/>
  <c r="S94" i="24"/>
  <c r="O94" i="24"/>
  <c r="N94" i="24"/>
  <c r="M94" i="24"/>
  <c r="L94" i="24"/>
  <c r="P94" i="24" s="1"/>
  <c r="K94" i="24"/>
  <c r="S93" i="24"/>
  <c r="O93" i="24"/>
  <c r="N93" i="24"/>
  <c r="M93" i="24"/>
  <c r="L93" i="24"/>
  <c r="K93" i="24"/>
  <c r="S92" i="24"/>
  <c r="O92" i="24"/>
  <c r="N92" i="24"/>
  <c r="M92" i="24"/>
  <c r="L92" i="24"/>
  <c r="K92" i="24"/>
  <c r="S91" i="24"/>
  <c r="O91" i="24"/>
  <c r="N91" i="24"/>
  <c r="M91" i="24"/>
  <c r="L91" i="24"/>
  <c r="K91" i="24"/>
  <c r="S90" i="24"/>
  <c r="O90" i="24"/>
  <c r="N90" i="24"/>
  <c r="M90" i="24"/>
  <c r="L90" i="24"/>
  <c r="P90" i="24" s="1"/>
  <c r="K90" i="24"/>
  <c r="S89" i="24"/>
  <c r="O89" i="24"/>
  <c r="N89" i="24"/>
  <c r="M89" i="24"/>
  <c r="L89" i="24"/>
  <c r="K89" i="24"/>
  <c r="S88" i="24"/>
  <c r="O88" i="24"/>
  <c r="N88" i="24"/>
  <c r="M88" i="24"/>
  <c r="L88" i="24"/>
  <c r="P88" i="24" s="1"/>
  <c r="K88" i="24"/>
  <c r="S87" i="24"/>
  <c r="O87" i="24"/>
  <c r="N87" i="24"/>
  <c r="M87" i="24"/>
  <c r="L87" i="24"/>
  <c r="K87" i="24"/>
  <c r="S86" i="24"/>
  <c r="O86" i="24"/>
  <c r="N86" i="24"/>
  <c r="M86" i="24"/>
  <c r="L86" i="24"/>
  <c r="P86" i="24" s="1"/>
  <c r="K86" i="24"/>
  <c r="S85" i="24"/>
  <c r="O85" i="24"/>
  <c r="N85" i="24"/>
  <c r="M85" i="24"/>
  <c r="L85" i="24"/>
  <c r="K85" i="24"/>
  <c r="S84" i="24"/>
  <c r="O84" i="24"/>
  <c r="N84" i="24"/>
  <c r="M84" i="24"/>
  <c r="L84" i="24"/>
  <c r="P84" i="24" s="1"/>
  <c r="K84" i="24"/>
  <c r="S83" i="24"/>
  <c r="O83" i="24"/>
  <c r="N83" i="24"/>
  <c r="M83" i="24"/>
  <c r="L83" i="24"/>
  <c r="K83" i="24"/>
  <c r="S82" i="24"/>
  <c r="O82" i="24"/>
  <c r="N82" i="24"/>
  <c r="M82" i="24"/>
  <c r="L82" i="24"/>
  <c r="P82" i="24" s="1"/>
  <c r="K82" i="24"/>
  <c r="S81" i="24"/>
  <c r="O81" i="24"/>
  <c r="N81" i="24"/>
  <c r="M81" i="24"/>
  <c r="L81" i="24"/>
  <c r="K81" i="24"/>
  <c r="S80" i="24"/>
  <c r="O80" i="24"/>
  <c r="N80" i="24"/>
  <c r="M80" i="24"/>
  <c r="L80" i="24"/>
  <c r="K80" i="24"/>
  <c r="S79" i="24"/>
  <c r="O79" i="24"/>
  <c r="N79" i="24"/>
  <c r="M79" i="24"/>
  <c r="L79" i="24"/>
  <c r="K79" i="24"/>
  <c r="S78" i="24"/>
  <c r="O78" i="24"/>
  <c r="N78" i="24"/>
  <c r="M78" i="24"/>
  <c r="L78" i="24"/>
  <c r="P78" i="24" s="1"/>
  <c r="K78" i="24"/>
  <c r="S77" i="24"/>
  <c r="O77" i="24"/>
  <c r="N77" i="24"/>
  <c r="M77" i="24"/>
  <c r="L77" i="24"/>
  <c r="K77" i="24"/>
  <c r="S76" i="24"/>
  <c r="O76" i="24"/>
  <c r="N76" i="24"/>
  <c r="M76" i="24"/>
  <c r="L76" i="24"/>
  <c r="P76" i="24" s="1"/>
  <c r="K76" i="24"/>
  <c r="S75" i="24"/>
  <c r="O75" i="24"/>
  <c r="N75" i="24"/>
  <c r="M75" i="24"/>
  <c r="L75" i="24"/>
  <c r="K75" i="24"/>
  <c r="S74" i="24"/>
  <c r="O74" i="24"/>
  <c r="N74" i="24"/>
  <c r="M74" i="24"/>
  <c r="L74" i="24"/>
  <c r="K74" i="24"/>
  <c r="S73" i="24"/>
  <c r="O73" i="24"/>
  <c r="N73" i="24"/>
  <c r="M73" i="24"/>
  <c r="L73" i="24"/>
  <c r="K73" i="24"/>
  <c r="S72" i="24"/>
  <c r="O72" i="24"/>
  <c r="N72" i="24"/>
  <c r="M72" i="24"/>
  <c r="L72" i="24"/>
  <c r="P72" i="24" s="1"/>
  <c r="K72" i="24"/>
  <c r="S71" i="24"/>
  <c r="O71" i="24"/>
  <c r="N71" i="24"/>
  <c r="M71" i="24"/>
  <c r="L71" i="24"/>
  <c r="K71" i="24"/>
  <c r="S70" i="24"/>
  <c r="O70" i="24"/>
  <c r="N70" i="24"/>
  <c r="M70" i="24"/>
  <c r="L70" i="24"/>
  <c r="P70" i="24" s="1"/>
  <c r="K70" i="24"/>
  <c r="S69" i="24"/>
  <c r="O69" i="24"/>
  <c r="N69" i="24"/>
  <c r="M69" i="24"/>
  <c r="L69" i="24"/>
  <c r="K69" i="24"/>
  <c r="S68" i="24"/>
  <c r="O68" i="24"/>
  <c r="N68" i="24"/>
  <c r="M68" i="24"/>
  <c r="L68" i="24"/>
  <c r="P68" i="24" s="1"/>
  <c r="K68" i="24"/>
  <c r="S67" i="24"/>
  <c r="O67" i="24"/>
  <c r="N67" i="24"/>
  <c r="M67" i="24"/>
  <c r="L67" i="24"/>
  <c r="K67" i="24"/>
  <c r="S66" i="24"/>
  <c r="O66" i="24"/>
  <c r="N66" i="24"/>
  <c r="M66" i="24"/>
  <c r="L66" i="24"/>
  <c r="P66" i="24" s="1"/>
  <c r="K66" i="24"/>
  <c r="S65" i="24"/>
  <c r="O65" i="24"/>
  <c r="N65" i="24"/>
  <c r="M65" i="24"/>
  <c r="L65" i="24"/>
  <c r="K65" i="24"/>
  <c r="S64" i="24"/>
  <c r="O64" i="24"/>
  <c r="N64" i="24"/>
  <c r="M64" i="24"/>
  <c r="L64" i="24"/>
  <c r="P64" i="24" s="1"/>
  <c r="K64" i="24"/>
  <c r="S63" i="24"/>
  <c r="O63" i="24"/>
  <c r="N63" i="24"/>
  <c r="M63" i="24"/>
  <c r="L63" i="24"/>
  <c r="K63" i="24"/>
  <c r="S62" i="24"/>
  <c r="O62" i="24"/>
  <c r="N62" i="24"/>
  <c r="M62" i="24"/>
  <c r="L62" i="24"/>
  <c r="P62" i="24" s="1"/>
  <c r="K62" i="24"/>
  <c r="S61" i="24"/>
  <c r="O61" i="24"/>
  <c r="N61" i="24"/>
  <c r="M61" i="24"/>
  <c r="L61" i="24"/>
  <c r="K61" i="24"/>
  <c r="S60" i="24"/>
  <c r="O60" i="24"/>
  <c r="N60" i="24"/>
  <c r="M60" i="24"/>
  <c r="L60" i="24"/>
  <c r="P60" i="24" s="1"/>
  <c r="K60" i="24"/>
  <c r="S59" i="24"/>
  <c r="O59" i="24"/>
  <c r="N59" i="24"/>
  <c r="M59" i="24"/>
  <c r="L59" i="24"/>
  <c r="K59" i="24"/>
  <c r="S58" i="24"/>
  <c r="O58" i="24"/>
  <c r="N58" i="24"/>
  <c r="M58" i="24"/>
  <c r="L58" i="24"/>
  <c r="P58" i="24" s="1"/>
  <c r="K58" i="24"/>
  <c r="S57" i="24"/>
  <c r="O57" i="24"/>
  <c r="N57" i="24"/>
  <c r="M57" i="24"/>
  <c r="L57" i="24"/>
  <c r="K57" i="24"/>
  <c r="S56" i="24"/>
  <c r="O56" i="24"/>
  <c r="N56" i="24"/>
  <c r="M56" i="24"/>
  <c r="L56" i="24"/>
  <c r="P56" i="24" s="1"/>
  <c r="K56" i="24"/>
  <c r="S55" i="24"/>
  <c r="O55" i="24"/>
  <c r="N55" i="24"/>
  <c r="M55" i="24"/>
  <c r="L55" i="24"/>
  <c r="K55" i="24"/>
  <c r="S54" i="24"/>
  <c r="O54" i="24"/>
  <c r="N54" i="24"/>
  <c r="M54" i="24"/>
  <c r="L54" i="24"/>
  <c r="P54" i="24" s="1"/>
  <c r="K54" i="24"/>
  <c r="S53" i="24"/>
  <c r="O53" i="24"/>
  <c r="N53" i="24"/>
  <c r="M53" i="24"/>
  <c r="L53" i="24"/>
  <c r="K53" i="24"/>
  <c r="S52" i="24"/>
  <c r="O52" i="24"/>
  <c r="N52" i="24"/>
  <c r="M52" i="24"/>
  <c r="L52" i="24"/>
  <c r="P52" i="24" s="1"/>
  <c r="K52" i="24"/>
  <c r="S51" i="24"/>
  <c r="O51" i="24"/>
  <c r="N51" i="24"/>
  <c r="M51" i="24"/>
  <c r="L51" i="24"/>
  <c r="K51" i="24"/>
  <c r="S50" i="24"/>
  <c r="O50" i="24"/>
  <c r="N50" i="24"/>
  <c r="M50" i="24"/>
  <c r="L50" i="24"/>
  <c r="P50" i="24" s="1"/>
  <c r="K50" i="24"/>
  <c r="S49" i="24"/>
  <c r="O49" i="24"/>
  <c r="N49" i="24"/>
  <c r="M49" i="24"/>
  <c r="L49" i="24"/>
  <c r="K49" i="24"/>
  <c r="S48" i="24"/>
  <c r="O48" i="24"/>
  <c r="N48" i="24"/>
  <c r="M48" i="24"/>
  <c r="L48" i="24"/>
  <c r="P48" i="24" s="1"/>
  <c r="K48" i="24"/>
  <c r="S47" i="24"/>
  <c r="O47" i="24"/>
  <c r="N47" i="24"/>
  <c r="M47" i="24"/>
  <c r="L47" i="24"/>
  <c r="K47" i="24"/>
  <c r="S46" i="24"/>
  <c r="O46" i="24"/>
  <c r="N46" i="24"/>
  <c r="M46" i="24"/>
  <c r="L46" i="24"/>
  <c r="P46" i="24" s="1"/>
  <c r="K46" i="24"/>
  <c r="S45" i="24"/>
  <c r="O45" i="24"/>
  <c r="N45" i="24"/>
  <c r="M45" i="24"/>
  <c r="L45" i="24"/>
  <c r="K45" i="24"/>
  <c r="S44" i="24"/>
  <c r="O44" i="24"/>
  <c r="N44" i="24"/>
  <c r="M44" i="24"/>
  <c r="L44" i="24"/>
  <c r="P44" i="24" s="1"/>
  <c r="K44" i="24"/>
  <c r="S43" i="24"/>
  <c r="O43" i="24"/>
  <c r="N43" i="24"/>
  <c r="M43" i="24"/>
  <c r="L43" i="24"/>
  <c r="K43" i="24"/>
  <c r="S42" i="24"/>
  <c r="O42" i="24"/>
  <c r="N42" i="24"/>
  <c r="M42" i="24"/>
  <c r="L42" i="24"/>
  <c r="P42" i="24" s="1"/>
  <c r="K42" i="24"/>
  <c r="S41" i="24"/>
  <c r="O41" i="24"/>
  <c r="N41" i="24"/>
  <c r="N113" i="24" s="1"/>
  <c r="N114" i="24" s="1"/>
  <c r="M41" i="24"/>
  <c r="L41" i="24"/>
  <c r="K41" i="24"/>
  <c r="S40" i="24"/>
  <c r="O40" i="24"/>
  <c r="N40" i="24"/>
  <c r="M40" i="24"/>
  <c r="L40" i="24"/>
  <c r="K40" i="24"/>
  <c r="S38" i="24"/>
  <c r="P38" i="24"/>
  <c r="O38" i="24"/>
  <c r="N38" i="24"/>
  <c r="M38" i="24"/>
  <c r="L38" i="24"/>
  <c r="L37" i="24"/>
  <c r="G37" i="24"/>
  <c r="A35" i="24"/>
  <c r="S28" i="24"/>
  <c r="O28" i="24"/>
  <c r="N28" i="24"/>
  <c r="M28" i="24"/>
  <c r="L28" i="24"/>
  <c r="P28" i="24" s="1"/>
  <c r="K28" i="24"/>
  <c r="S27" i="24"/>
  <c r="O27" i="24"/>
  <c r="N27" i="24"/>
  <c r="M27" i="24"/>
  <c r="L27" i="24"/>
  <c r="K27" i="24"/>
  <c r="S26" i="24"/>
  <c r="O26" i="24"/>
  <c r="N26" i="24"/>
  <c r="M26" i="24"/>
  <c r="L26" i="24"/>
  <c r="P26" i="24" s="1"/>
  <c r="K26" i="24"/>
  <c r="S25" i="24"/>
  <c r="O25" i="24"/>
  <c r="N25" i="24"/>
  <c r="M25" i="24"/>
  <c r="L25" i="24"/>
  <c r="K25" i="24"/>
  <c r="S24" i="24"/>
  <c r="T24" i="24" s="1"/>
  <c r="O24" i="24"/>
  <c r="N24" i="24"/>
  <c r="M24" i="24"/>
  <c r="M29" i="24" s="1"/>
  <c r="M30" i="24" s="1"/>
  <c r="L24" i="24"/>
  <c r="L29" i="24" s="1"/>
  <c r="L30" i="24" s="1"/>
  <c r="K24" i="24"/>
  <c r="S23" i="24"/>
  <c r="P23" i="24"/>
  <c r="O23" i="24"/>
  <c r="N23" i="24"/>
  <c r="M23" i="24"/>
  <c r="L23" i="24"/>
  <c r="L22" i="24"/>
  <c r="G22" i="24"/>
  <c r="A20" i="24"/>
  <c r="J10" i="24"/>
  <c r="O10" i="24" s="1"/>
  <c r="J9" i="24"/>
  <c r="O9" i="24" s="1"/>
  <c r="O7" i="24"/>
  <c r="N7" i="24"/>
  <c r="M7" i="24"/>
  <c r="L7" i="24"/>
  <c r="K7" i="24"/>
  <c r="J7" i="24"/>
  <c r="I7" i="24"/>
  <c r="H7" i="24"/>
  <c r="G7" i="24"/>
  <c r="G6" i="24"/>
  <c r="A4" i="24"/>
  <c r="E1" i="24"/>
  <c r="S127" i="23"/>
  <c r="O127" i="23"/>
  <c r="N127" i="23"/>
  <c r="M127" i="23"/>
  <c r="L127" i="23"/>
  <c r="K127" i="23"/>
  <c r="S126" i="23"/>
  <c r="O126" i="23"/>
  <c r="N126" i="23"/>
  <c r="M126" i="23"/>
  <c r="L126" i="23"/>
  <c r="K126" i="23"/>
  <c r="S125" i="23"/>
  <c r="O125" i="23"/>
  <c r="N125" i="23"/>
  <c r="M125" i="23"/>
  <c r="L125" i="23"/>
  <c r="K125" i="23"/>
  <c r="S124" i="23"/>
  <c r="O124" i="23"/>
  <c r="N124" i="23"/>
  <c r="M124" i="23"/>
  <c r="L124" i="23"/>
  <c r="K124" i="23"/>
  <c r="S123" i="23"/>
  <c r="T123" i="23" s="1"/>
  <c r="O123" i="23"/>
  <c r="N123" i="23"/>
  <c r="M123" i="23"/>
  <c r="L123" i="23"/>
  <c r="K123" i="23"/>
  <c r="S122" i="23"/>
  <c r="P122" i="23"/>
  <c r="O122" i="23"/>
  <c r="N122" i="23"/>
  <c r="M122" i="23"/>
  <c r="L122" i="23"/>
  <c r="L121" i="23"/>
  <c r="G121" i="23"/>
  <c r="S112" i="23"/>
  <c r="O112" i="23"/>
  <c r="N112" i="23"/>
  <c r="M112" i="23"/>
  <c r="L112" i="23"/>
  <c r="K112" i="23"/>
  <c r="S111" i="23"/>
  <c r="O111" i="23"/>
  <c r="N111" i="23"/>
  <c r="M111" i="23"/>
  <c r="L111" i="23"/>
  <c r="K111" i="23"/>
  <c r="S110" i="23"/>
  <c r="O110" i="23"/>
  <c r="N110" i="23"/>
  <c r="M110" i="23"/>
  <c r="L110" i="23"/>
  <c r="K110" i="23"/>
  <c r="S109" i="23"/>
  <c r="O109" i="23"/>
  <c r="N109" i="23"/>
  <c r="M109" i="23"/>
  <c r="L109" i="23"/>
  <c r="K109" i="23"/>
  <c r="S108" i="23"/>
  <c r="O108" i="23"/>
  <c r="N108" i="23"/>
  <c r="M108" i="23"/>
  <c r="L108" i="23"/>
  <c r="K108" i="23"/>
  <c r="S107" i="23"/>
  <c r="O107" i="23"/>
  <c r="N107" i="23"/>
  <c r="M107" i="23"/>
  <c r="L107" i="23"/>
  <c r="K107" i="23"/>
  <c r="S106" i="23"/>
  <c r="O106" i="23"/>
  <c r="N106" i="23"/>
  <c r="M106" i="23"/>
  <c r="L106" i="23"/>
  <c r="K106" i="23"/>
  <c r="S105" i="23"/>
  <c r="O105" i="23"/>
  <c r="N105" i="23"/>
  <c r="M105" i="23"/>
  <c r="L105" i="23"/>
  <c r="K105" i="23"/>
  <c r="S104" i="23"/>
  <c r="O104" i="23"/>
  <c r="N104" i="23"/>
  <c r="M104" i="23"/>
  <c r="L104" i="23"/>
  <c r="K104" i="23"/>
  <c r="S103" i="23"/>
  <c r="O103" i="23"/>
  <c r="N103" i="23"/>
  <c r="M103" i="23"/>
  <c r="L103" i="23"/>
  <c r="K103" i="23"/>
  <c r="S102" i="23"/>
  <c r="O102" i="23"/>
  <c r="N102" i="23"/>
  <c r="M102" i="23"/>
  <c r="L102" i="23"/>
  <c r="K102" i="23"/>
  <c r="S101" i="23"/>
  <c r="O101" i="23"/>
  <c r="N101" i="23"/>
  <c r="M101" i="23"/>
  <c r="L101" i="23"/>
  <c r="K101" i="23"/>
  <c r="S100" i="23"/>
  <c r="O100" i="23"/>
  <c r="N100" i="23"/>
  <c r="M100" i="23"/>
  <c r="L100" i="23"/>
  <c r="K100" i="23"/>
  <c r="S99" i="23"/>
  <c r="O99" i="23"/>
  <c r="N99" i="23"/>
  <c r="M99" i="23"/>
  <c r="L99" i="23"/>
  <c r="K99" i="23"/>
  <c r="S98" i="23"/>
  <c r="O98" i="23"/>
  <c r="N98" i="23"/>
  <c r="M98" i="23"/>
  <c r="L98" i="23"/>
  <c r="K98" i="23"/>
  <c r="S97" i="23"/>
  <c r="O97" i="23"/>
  <c r="N97" i="23"/>
  <c r="M97" i="23"/>
  <c r="L97" i="23"/>
  <c r="K97" i="23"/>
  <c r="S96" i="23"/>
  <c r="O96" i="23"/>
  <c r="N96" i="23"/>
  <c r="M96" i="23"/>
  <c r="L96" i="23"/>
  <c r="K96" i="23"/>
  <c r="S95" i="23"/>
  <c r="O95" i="23"/>
  <c r="N95" i="23"/>
  <c r="M95" i="23"/>
  <c r="L95" i="23"/>
  <c r="K95" i="23"/>
  <c r="S94" i="23"/>
  <c r="O94" i="23"/>
  <c r="N94" i="23"/>
  <c r="M94" i="23"/>
  <c r="L94" i="23"/>
  <c r="K94" i="23"/>
  <c r="S93" i="23"/>
  <c r="O93" i="23"/>
  <c r="N93" i="23"/>
  <c r="M93" i="23"/>
  <c r="L93" i="23"/>
  <c r="K93" i="23"/>
  <c r="S92" i="23"/>
  <c r="O92" i="23"/>
  <c r="N92" i="23"/>
  <c r="M92" i="23"/>
  <c r="L92" i="23"/>
  <c r="K92" i="23"/>
  <c r="S91" i="23"/>
  <c r="O91" i="23"/>
  <c r="N91" i="23"/>
  <c r="M91" i="23"/>
  <c r="L91" i="23"/>
  <c r="K91" i="23"/>
  <c r="S90" i="23"/>
  <c r="O90" i="23"/>
  <c r="N90" i="23"/>
  <c r="M90" i="23"/>
  <c r="L90" i="23"/>
  <c r="K90" i="23"/>
  <c r="S89" i="23"/>
  <c r="O89" i="23"/>
  <c r="N89" i="23"/>
  <c r="M89" i="23"/>
  <c r="L89" i="23"/>
  <c r="K89" i="23"/>
  <c r="S88" i="23"/>
  <c r="O88" i="23"/>
  <c r="N88" i="23"/>
  <c r="M88" i="23"/>
  <c r="L88" i="23"/>
  <c r="K88" i="23"/>
  <c r="S87" i="23"/>
  <c r="O87" i="23"/>
  <c r="N87" i="23"/>
  <c r="M87" i="23"/>
  <c r="L87" i="23"/>
  <c r="K87" i="23"/>
  <c r="S86" i="23"/>
  <c r="O86" i="23"/>
  <c r="N86" i="23"/>
  <c r="M86" i="23"/>
  <c r="L86" i="23"/>
  <c r="K86" i="23"/>
  <c r="S85" i="23"/>
  <c r="O85" i="23"/>
  <c r="N85" i="23"/>
  <c r="M85" i="23"/>
  <c r="L85" i="23"/>
  <c r="K85" i="23"/>
  <c r="S84" i="23"/>
  <c r="O84" i="23"/>
  <c r="N84" i="23"/>
  <c r="M84" i="23"/>
  <c r="L84" i="23"/>
  <c r="K84" i="23"/>
  <c r="S83" i="23"/>
  <c r="O83" i="23"/>
  <c r="N83" i="23"/>
  <c r="M83" i="23"/>
  <c r="L83" i="23"/>
  <c r="K83" i="23"/>
  <c r="S82" i="23"/>
  <c r="O82" i="23"/>
  <c r="N82" i="23"/>
  <c r="M82" i="23"/>
  <c r="L82" i="23"/>
  <c r="K82" i="23"/>
  <c r="S81" i="23"/>
  <c r="O81" i="23"/>
  <c r="N81" i="23"/>
  <c r="M81" i="23"/>
  <c r="L81" i="23"/>
  <c r="K81" i="23"/>
  <c r="S80" i="23"/>
  <c r="O80" i="23"/>
  <c r="N80" i="23"/>
  <c r="M80" i="23"/>
  <c r="L80" i="23"/>
  <c r="K80" i="23"/>
  <c r="S79" i="23"/>
  <c r="O79" i="23"/>
  <c r="N79" i="23"/>
  <c r="M79" i="23"/>
  <c r="L79" i="23"/>
  <c r="K79" i="23"/>
  <c r="S78" i="23"/>
  <c r="O78" i="23"/>
  <c r="N78" i="23"/>
  <c r="M78" i="23"/>
  <c r="L78" i="23"/>
  <c r="K78" i="23"/>
  <c r="S77" i="23"/>
  <c r="O77" i="23"/>
  <c r="N77" i="23"/>
  <c r="M77" i="23"/>
  <c r="L77" i="23"/>
  <c r="K77" i="23"/>
  <c r="S76" i="23"/>
  <c r="O76" i="23"/>
  <c r="N76" i="23"/>
  <c r="M76" i="23"/>
  <c r="L76" i="23"/>
  <c r="K76" i="23"/>
  <c r="S75" i="23"/>
  <c r="O75" i="23"/>
  <c r="N75" i="23"/>
  <c r="M75" i="23"/>
  <c r="L75" i="23"/>
  <c r="K75" i="23"/>
  <c r="S74" i="23"/>
  <c r="O74" i="23"/>
  <c r="N74" i="23"/>
  <c r="M74" i="23"/>
  <c r="L74" i="23"/>
  <c r="K74" i="23"/>
  <c r="S73" i="23"/>
  <c r="O73" i="23"/>
  <c r="N73" i="23"/>
  <c r="M73" i="23"/>
  <c r="L73" i="23"/>
  <c r="K73" i="23"/>
  <c r="S72" i="23"/>
  <c r="O72" i="23"/>
  <c r="N72" i="23"/>
  <c r="M72" i="23"/>
  <c r="L72" i="23"/>
  <c r="K72" i="23"/>
  <c r="S71" i="23"/>
  <c r="O71" i="23"/>
  <c r="N71" i="23"/>
  <c r="M71" i="23"/>
  <c r="L71" i="23"/>
  <c r="K71" i="23"/>
  <c r="S70" i="23"/>
  <c r="O70" i="23"/>
  <c r="N70" i="23"/>
  <c r="M70" i="23"/>
  <c r="L70" i="23"/>
  <c r="K70" i="23"/>
  <c r="S69" i="23"/>
  <c r="O69" i="23"/>
  <c r="N69" i="23"/>
  <c r="M69" i="23"/>
  <c r="L69" i="23"/>
  <c r="K69" i="23"/>
  <c r="S68" i="23"/>
  <c r="O68" i="23"/>
  <c r="N68" i="23"/>
  <c r="M68" i="23"/>
  <c r="L68" i="23"/>
  <c r="K68" i="23"/>
  <c r="S67" i="23"/>
  <c r="O67" i="23"/>
  <c r="N67" i="23"/>
  <c r="M67" i="23"/>
  <c r="L67" i="23"/>
  <c r="K67" i="23"/>
  <c r="S66" i="23"/>
  <c r="O66" i="23"/>
  <c r="N66" i="23"/>
  <c r="M66" i="23"/>
  <c r="L66" i="23"/>
  <c r="K66" i="23"/>
  <c r="S65" i="23"/>
  <c r="O65" i="23"/>
  <c r="N65" i="23"/>
  <c r="M65" i="23"/>
  <c r="L65" i="23"/>
  <c r="K65" i="23"/>
  <c r="S64" i="23"/>
  <c r="O64" i="23"/>
  <c r="N64" i="23"/>
  <c r="M64" i="23"/>
  <c r="L64" i="23"/>
  <c r="K64" i="23"/>
  <c r="S63" i="23"/>
  <c r="O63" i="23"/>
  <c r="N63" i="23"/>
  <c r="M63" i="23"/>
  <c r="L63" i="23"/>
  <c r="K63" i="23"/>
  <c r="S62" i="23"/>
  <c r="O62" i="23"/>
  <c r="N62" i="23"/>
  <c r="M62" i="23"/>
  <c r="L62" i="23"/>
  <c r="K62" i="23"/>
  <c r="S61" i="23"/>
  <c r="O61" i="23"/>
  <c r="N61" i="23"/>
  <c r="M61" i="23"/>
  <c r="L61" i="23"/>
  <c r="K61" i="23"/>
  <c r="S60" i="23"/>
  <c r="O60" i="23"/>
  <c r="N60" i="23"/>
  <c r="M60" i="23"/>
  <c r="L60" i="23"/>
  <c r="K60" i="23"/>
  <c r="S59" i="23"/>
  <c r="O59" i="23"/>
  <c r="N59" i="23"/>
  <c r="M59" i="23"/>
  <c r="L59" i="23"/>
  <c r="K59" i="23"/>
  <c r="S58" i="23"/>
  <c r="O58" i="23"/>
  <c r="N58" i="23"/>
  <c r="M58" i="23"/>
  <c r="L58" i="23"/>
  <c r="K58" i="23"/>
  <c r="S57" i="23"/>
  <c r="O57" i="23"/>
  <c r="N57" i="23"/>
  <c r="M57" i="23"/>
  <c r="L57" i="23"/>
  <c r="K57" i="23"/>
  <c r="S56" i="23"/>
  <c r="O56" i="23"/>
  <c r="N56" i="23"/>
  <c r="M56" i="23"/>
  <c r="L56" i="23"/>
  <c r="K56" i="23"/>
  <c r="S55" i="23"/>
  <c r="O55" i="23"/>
  <c r="N55" i="23"/>
  <c r="M55" i="23"/>
  <c r="L55" i="23"/>
  <c r="K55" i="23"/>
  <c r="S54" i="23"/>
  <c r="O54" i="23"/>
  <c r="N54" i="23"/>
  <c r="M54" i="23"/>
  <c r="L54" i="23"/>
  <c r="K54" i="23"/>
  <c r="S53" i="23"/>
  <c r="O53" i="23"/>
  <c r="N53" i="23"/>
  <c r="M53" i="23"/>
  <c r="L53" i="23"/>
  <c r="K53" i="23"/>
  <c r="S52" i="23"/>
  <c r="O52" i="23"/>
  <c r="N52" i="23"/>
  <c r="M52" i="23"/>
  <c r="L52" i="23"/>
  <c r="K52" i="23"/>
  <c r="S51" i="23"/>
  <c r="O51" i="23"/>
  <c r="N51" i="23"/>
  <c r="M51" i="23"/>
  <c r="L51" i="23"/>
  <c r="K51" i="23"/>
  <c r="S50" i="23"/>
  <c r="O50" i="23"/>
  <c r="N50" i="23"/>
  <c r="M50" i="23"/>
  <c r="L50" i="23"/>
  <c r="K50" i="23"/>
  <c r="S49" i="23"/>
  <c r="O49" i="23"/>
  <c r="N49" i="23"/>
  <c r="M49" i="23"/>
  <c r="L49" i="23"/>
  <c r="K49" i="23"/>
  <c r="S48" i="23"/>
  <c r="O48" i="23"/>
  <c r="N48" i="23"/>
  <c r="M48" i="23"/>
  <c r="L48" i="23"/>
  <c r="K48" i="23"/>
  <c r="S47" i="23"/>
  <c r="O47" i="23"/>
  <c r="N47" i="23"/>
  <c r="M47" i="23"/>
  <c r="L47" i="23"/>
  <c r="K47" i="23"/>
  <c r="S46" i="23"/>
  <c r="O46" i="23"/>
  <c r="N46" i="23"/>
  <c r="M46" i="23"/>
  <c r="L46" i="23"/>
  <c r="K46" i="23"/>
  <c r="S45" i="23"/>
  <c r="O45" i="23"/>
  <c r="N45" i="23"/>
  <c r="M45" i="23"/>
  <c r="L45" i="23"/>
  <c r="K45" i="23"/>
  <c r="S44" i="23"/>
  <c r="O44" i="23"/>
  <c r="N44" i="23"/>
  <c r="M44" i="23"/>
  <c r="L44" i="23"/>
  <c r="K44" i="23"/>
  <c r="S43" i="23"/>
  <c r="O43" i="23"/>
  <c r="N43" i="23"/>
  <c r="M43" i="23"/>
  <c r="L43" i="23"/>
  <c r="K43" i="23"/>
  <c r="S42" i="23"/>
  <c r="O42" i="23"/>
  <c r="N42" i="23"/>
  <c r="M42" i="23"/>
  <c r="L42" i="23"/>
  <c r="K42" i="23"/>
  <c r="S41" i="23"/>
  <c r="O41" i="23"/>
  <c r="N41" i="23"/>
  <c r="M41" i="23"/>
  <c r="L41" i="23"/>
  <c r="K41" i="23"/>
  <c r="S40" i="23"/>
  <c r="O40" i="23"/>
  <c r="N40" i="23"/>
  <c r="M40" i="23"/>
  <c r="L40" i="23"/>
  <c r="K40" i="23"/>
  <c r="S39" i="23"/>
  <c r="T39" i="23" s="1"/>
  <c r="O39" i="23"/>
  <c r="N39" i="23"/>
  <c r="M39" i="23"/>
  <c r="L39" i="23"/>
  <c r="K39" i="23"/>
  <c r="S38" i="23"/>
  <c r="P38" i="23"/>
  <c r="O38" i="23"/>
  <c r="N38" i="23"/>
  <c r="M38" i="23"/>
  <c r="L38" i="23"/>
  <c r="L37" i="23"/>
  <c r="G37" i="23"/>
  <c r="A35" i="23"/>
  <c r="S28" i="23"/>
  <c r="O28" i="23"/>
  <c r="N28" i="23"/>
  <c r="M28" i="23"/>
  <c r="L28" i="23"/>
  <c r="K28" i="23"/>
  <c r="S27" i="23"/>
  <c r="O27" i="23"/>
  <c r="N27" i="23"/>
  <c r="M27" i="23"/>
  <c r="L27" i="23"/>
  <c r="K27" i="23"/>
  <c r="S26" i="23"/>
  <c r="O26" i="23"/>
  <c r="N26" i="23"/>
  <c r="M26" i="23"/>
  <c r="L26" i="23"/>
  <c r="K26" i="23"/>
  <c r="S25" i="23"/>
  <c r="O25" i="23"/>
  <c r="N25" i="23"/>
  <c r="M25" i="23"/>
  <c r="L25" i="23"/>
  <c r="K25" i="23"/>
  <c r="S24" i="23"/>
  <c r="O24" i="23"/>
  <c r="N24" i="23"/>
  <c r="M24" i="23"/>
  <c r="L24" i="23"/>
  <c r="K24" i="23"/>
  <c r="S23" i="23"/>
  <c r="P23" i="23"/>
  <c r="O23" i="23"/>
  <c r="N23" i="23"/>
  <c r="M23" i="23"/>
  <c r="L23" i="23"/>
  <c r="L22" i="23"/>
  <c r="G22" i="23"/>
  <c r="A20" i="23"/>
  <c r="L132" i="23"/>
  <c r="O7" i="23"/>
  <c r="N7" i="23"/>
  <c r="M7" i="23"/>
  <c r="L7" i="23"/>
  <c r="K7" i="23"/>
  <c r="J7" i="23"/>
  <c r="I7" i="23"/>
  <c r="H7" i="23"/>
  <c r="G7" i="23"/>
  <c r="G6" i="23"/>
  <c r="E1" i="23"/>
  <c r="I50" i="4"/>
  <c r="AL20" i="22"/>
  <c r="AL19" i="22"/>
  <c r="AL18" i="22"/>
  <c r="AL17" i="22"/>
  <c r="AL16" i="22"/>
  <c r="AL15" i="22"/>
  <c r="AL14" i="22"/>
  <c r="AL13" i="22"/>
  <c r="AL12" i="22"/>
  <c r="AL11" i="22"/>
  <c r="AL10" i="22"/>
  <c r="AL9" i="22"/>
  <c r="AL8" i="22"/>
  <c r="AL7" i="22"/>
  <c r="AL6" i="22"/>
  <c r="AL5" i="22"/>
  <c r="AL4" i="22"/>
  <c r="AL3" i="22"/>
  <c r="I50" i="16"/>
  <c r="G21" i="22"/>
  <c r="AR20" i="22"/>
  <c r="AM20" i="22"/>
  <c r="AK20" i="22"/>
  <c r="AI20" i="22"/>
  <c r="AH20" i="22"/>
  <c r="AG20" i="22"/>
  <c r="AF20" i="22"/>
  <c r="AE20" i="22"/>
  <c r="AC20" i="22"/>
  <c r="AB20" i="22"/>
  <c r="Z20" i="22"/>
  <c r="X20" i="22"/>
  <c r="V20" i="22"/>
  <c r="T20" i="22"/>
  <c r="R20" i="22"/>
  <c r="P20" i="22"/>
  <c r="O20" i="22"/>
  <c r="M20" i="22"/>
  <c r="L20" i="22"/>
  <c r="J20" i="22"/>
  <c r="AR19" i="22"/>
  <c r="AM19" i="22"/>
  <c r="AK19" i="22"/>
  <c r="AI19" i="22"/>
  <c r="AH19" i="22"/>
  <c r="AG19" i="22"/>
  <c r="AF19" i="22"/>
  <c r="AE19" i="22"/>
  <c r="AC19" i="22"/>
  <c r="AB19" i="22"/>
  <c r="Z19" i="22"/>
  <c r="X19" i="22"/>
  <c r="V19" i="22"/>
  <c r="T19" i="22"/>
  <c r="R19" i="22"/>
  <c r="P19" i="22"/>
  <c r="O19" i="22"/>
  <c r="M19" i="22"/>
  <c r="L19" i="22"/>
  <c r="J19" i="22"/>
  <c r="AR18" i="22"/>
  <c r="AM18" i="22"/>
  <c r="AK18" i="22"/>
  <c r="AI18" i="22"/>
  <c r="AH18" i="22"/>
  <c r="AG18" i="22"/>
  <c r="AF18" i="22"/>
  <c r="AE18" i="22"/>
  <c r="AC18" i="22"/>
  <c r="AB18" i="22"/>
  <c r="Z18" i="22"/>
  <c r="X18" i="22"/>
  <c r="V18" i="22"/>
  <c r="T18" i="22"/>
  <c r="R18" i="22"/>
  <c r="P18" i="22"/>
  <c r="O18" i="22"/>
  <c r="M18" i="22"/>
  <c r="L18" i="22"/>
  <c r="J18" i="22"/>
  <c r="AR17" i="22"/>
  <c r="AM17" i="22"/>
  <c r="AK17" i="22"/>
  <c r="AI17" i="22"/>
  <c r="AH17" i="22"/>
  <c r="AG17" i="22"/>
  <c r="AF17" i="22"/>
  <c r="AE17" i="22"/>
  <c r="AC17" i="22"/>
  <c r="AB17" i="22"/>
  <c r="Z17" i="22"/>
  <c r="X17" i="22"/>
  <c r="V17" i="22"/>
  <c r="T17" i="22"/>
  <c r="R17" i="22"/>
  <c r="P17" i="22"/>
  <c r="O17" i="22"/>
  <c r="M17" i="22"/>
  <c r="L17" i="22"/>
  <c r="J17" i="22"/>
  <c r="AR16" i="22"/>
  <c r="AM16" i="22"/>
  <c r="AK16" i="22"/>
  <c r="AI16" i="22"/>
  <c r="AH16" i="22"/>
  <c r="AG16" i="22"/>
  <c r="AF16" i="22"/>
  <c r="AE16" i="22"/>
  <c r="AC16" i="22"/>
  <c r="AB16" i="22"/>
  <c r="Z16" i="22"/>
  <c r="X16" i="22"/>
  <c r="V16" i="22"/>
  <c r="T16" i="22"/>
  <c r="R16" i="22"/>
  <c r="P16" i="22"/>
  <c r="O16" i="22"/>
  <c r="M16" i="22"/>
  <c r="L16" i="22"/>
  <c r="J16" i="22"/>
  <c r="AR15" i="22"/>
  <c r="AM15" i="22"/>
  <c r="AK15" i="22"/>
  <c r="AI15" i="22"/>
  <c r="AH15" i="22"/>
  <c r="AG15" i="22"/>
  <c r="AF15" i="22"/>
  <c r="AE15" i="22"/>
  <c r="AC15" i="22"/>
  <c r="AB15" i="22"/>
  <c r="Z15" i="22"/>
  <c r="X15" i="22"/>
  <c r="V15" i="22"/>
  <c r="T15" i="22"/>
  <c r="R15" i="22"/>
  <c r="P15" i="22"/>
  <c r="O15" i="22"/>
  <c r="M15" i="22"/>
  <c r="L15" i="22"/>
  <c r="J15" i="22"/>
  <c r="AR14" i="22"/>
  <c r="AM14" i="22"/>
  <c r="AK14" i="22"/>
  <c r="AI14" i="22"/>
  <c r="AH14" i="22"/>
  <c r="AG14" i="22"/>
  <c r="AF14" i="22"/>
  <c r="AE14" i="22"/>
  <c r="AC14" i="22"/>
  <c r="AB14" i="22"/>
  <c r="Z14" i="22"/>
  <c r="X14" i="22"/>
  <c r="V14" i="22"/>
  <c r="T14" i="22"/>
  <c r="R14" i="22"/>
  <c r="P14" i="22"/>
  <c r="O14" i="22"/>
  <c r="M14" i="22"/>
  <c r="L14" i="22"/>
  <c r="J14" i="22"/>
  <c r="AR13" i="22"/>
  <c r="AM13" i="22"/>
  <c r="AK13" i="22"/>
  <c r="AI13" i="22"/>
  <c r="AH13" i="22"/>
  <c r="AG13" i="22"/>
  <c r="AF13" i="22"/>
  <c r="AE13" i="22"/>
  <c r="AC13" i="22"/>
  <c r="AB13" i="22"/>
  <c r="Z13" i="22"/>
  <c r="X13" i="22"/>
  <c r="V13" i="22"/>
  <c r="T13" i="22"/>
  <c r="R13" i="22"/>
  <c r="P13" i="22"/>
  <c r="O13" i="22"/>
  <c r="M13" i="22"/>
  <c r="L13" i="22"/>
  <c r="J13" i="22"/>
  <c r="AR12" i="22"/>
  <c r="AO12" i="22"/>
  <c r="AM12" i="22"/>
  <c r="AI12" i="22"/>
  <c r="AH12" i="22"/>
  <c r="AG12" i="22"/>
  <c r="AE12" i="22"/>
  <c r="AC12" i="22"/>
  <c r="AB12" i="22"/>
  <c r="Z12" i="22"/>
  <c r="X12" i="22"/>
  <c r="V12" i="22"/>
  <c r="T12" i="22"/>
  <c r="R12" i="22"/>
  <c r="P12" i="22"/>
  <c r="O12" i="22"/>
  <c r="M12" i="22"/>
  <c r="L12" i="22"/>
  <c r="J12" i="22"/>
  <c r="AR11" i="22"/>
  <c r="AP11" i="22"/>
  <c r="AM11" i="22"/>
  <c r="AI11" i="22"/>
  <c r="AH11" i="22"/>
  <c r="AG11" i="22"/>
  <c r="AF11" i="22"/>
  <c r="AE11" i="22"/>
  <c r="AC11" i="22"/>
  <c r="AB11" i="22"/>
  <c r="Z11" i="22"/>
  <c r="X11" i="22"/>
  <c r="V11" i="22"/>
  <c r="T11" i="22"/>
  <c r="R11" i="22"/>
  <c r="P11" i="22"/>
  <c r="O11" i="22"/>
  <c r="M11" i="22"/>
  <c r="L11" i="22"/>
  <c r="J11" i="22"/>
  <c r="AR10" i="22"/>
  <c r="AO10" i="22"/>
  <c r="AM10" i="22"/>
  <c r="AI10" i="22"/>
  <c r="AH10" i="22"/>
  <c r="AG10" i="22"/>
  <c r="AE10" i="22"/>
  <c r="AC10" i="22"/>
  <c r="AB10" i="22"/>
  <c r="Z10" i="22"/>
  <c r="X10" i="22"/>
  <c r="V10" i="22"/>
  <c r="T10" i="22"/>
  <c r="R10" i="22"/>
  <c r="P10" i="22"/>
  <c r="O10" i="22"/>
  <c r="M10" i="22"/>
  <c r="L10" i="22"/>
  <c r="J10" i="22"/>
  <c r="AR9" i="22"/>
  <c r="AP9" i="22"/>
  <c r="AM9" i="22"/>
  <c r="AI9" i="22"/>
  <c r="AH9" i="22"/>
  <c r="AG9" i="22"/>
  <c r="AF9" i="22"/>
  <c r="AE9" i="22"/>
  <c r="AC9" i="22"/>
  <c r="AB9" i="22"/>
  <c r="Z9" i="22"/>
  <c r="X9" i="22"/>
  <c r="V9" i="22"/>
  <c r="T9" i="22"/>
  <c r="R9" i="22"/>
  <c r="P9" i="22"/>
  <c r="O9" i="22"/>
  <c r="M9" i="22"/>
  <c r="L9" i="22"/>
  <c r="J9" i="22"/>
  <c r="AR8" i="22"/>
  <c r="AP8" i="22"/>
  <c r="AM8" i="22"/>
  <c r="AI8" i="22"/>
  <c r="AH8" i="22"/>
  <c r="AG8" i="22"/>
  <c r="AF8" i="22"/>
  <c r="AE8" i="22"/>
  <c r="AC8" i="22"/>
  <c r="AB8" i="22"/>
  <c r="Z8" i="22"/>
  <c r="X8" i="22"/>
  <c r="V8" i="22"/>
  <c r="T8" i="22"/>
  <c r="R8" i="22"/>
  <c r="P8" i="22"/>
  <c r="O8" i="22"/>
  <c r="M8" i="22"/>
  <c r="L8" i="22"/>
  <c r="J8" i="22"/>
  <c r="AR7" i="22"/>
  <c r="AP7" i="22"/>
  <c r="AM7" i="22"/>
  <c r="AI7" i="22"/>
  <c r="AH7" i="22"/>
  <c r="AG7" i="22"/>
  <c r="AF7" i="22"/>
  <c r="AE7" i="22"/>
  <c r="AC7" i="22"/>
  <c r="AB7" i="22"/>
  <c r="Z7" i="22"/>
  <c r="X7" i="22"/>
  <c r="V7" i="22"/>
  <c r="T7" i="22"/>
  <c r="R7" i="22"/>
  <c r="P7" i="22"/>
  <c r="O7" i="22"/>
  <c r="M7" i="22"/>
  <c r="L7" i="22"/>
  <c r="J7" i="22"/>
  <c r="AR6" i="22"/>
  <c r="AP6" i="22"/>
  <c r="AM6" i="22"/>
  <c r="AI6" i="22"/>
  <c r="AH6" i="22"/>
  <c r="AG6" i="22"/>
  <c r="AF6" i="22"/>
  <c r="AE6" i="22"/>
  <c r="AC6" i="22"/>
  <c r="AB6" i="22"/>
  <c r="Z6" i="22"/>
  <c r="X6" i="22"/>
  <c r="V6" i="22"/>
  <c r="T6" i="22"/>
  <c r="R6" i="22"/>
  <c r="P6" i="22"/>
  <c r="O6" i="22"/>
  <c r="M6" i="22"/>
  <c r="L6" i="22"/>
  <c r="J6" i="22"/>
  <c r="AR5" i="22"/>
  <c r="AO5" i="22"/>
  <c r="AM5" i="22"/>
  <c r="AI5" i="22"/>
  <c r="AH5" i="22"/>
  <c r="AG5" i="22"/>
  <c r="AF5" i="22"/>
  <c r="AE5" i="22"/>
  <c r="AC5" i="22"/>
  <c r="AB5" i="22"/>
  <c r="Z5" i="22"/>
  <c r="X5" i="22"/>
  <c r="V5" i="22"/>
  <c r="T5" i="22"/>
  <c r="R5" i="22"/>
  <c r="P5" i="22"/>
  <c r="O5" i="22"/>
  <c r="M5" i="22"/>
  <c r="L5" i="22"/>
  <c r="J5" i="22"/>
  <c r="AR4" i="22"/>
  <c r="AM4" i="22"/>
  <c r="AK4" i="22"/>
  <c r="AI4" i="22"/>
  <c r="AH4" i="22"/>
  <c r="AH21" i="22" s="1"/>
  <c r="AG4" i="22"/>
  <c r="AF4" i="22"/>
  <c r="AF21" i="22" s="1"/>
  <c r="AE4" i="22"/>
  <c r="AC4" i="22"/>
  <c r="AB4" i="22"/>
  <c r="Z4" i="22"/>
  <c r="X4" i="22"/>
  <c r="V4" i="22"/>
  <c r="T4" i="22"/>
  <c r="R4" i="22"/>
  <c r="P4" i="22"/>
  <c r="O4" i="22"/>
  <c r="M4" i="22"/>
  <c r="L4" i="22"/>
  <c r="J4" i="22"/>
  <c r="AR3" i="22"/>
  <c r="AM3" i="22"/>
  <c r="AK3" i="22"/>
  <c r="AI3" i="22"/>
  <c r="AH3" i="22"/>
  <c r="AG3" i="22"/>
  <c r="AG21" i="22" s="1"/>
  <c r="AF3" i="22"/>
  <c r="AE3" i="22"/>
  <c r="AC3" i="22"/>
  <c r="AB3" i="22"/>
  <c r="Z3" i="22"/>
  <c r="X3" i="22"/>
  <c r="V3" i="22"/>
  <c r="T3" i="22"/>
  <c r="R3" i="22"/>
  <c r="P3" i="22"/>
  <c r="O3" i="22"/>
  <c r="M3" i="22"/>
  <c r="L3" i="22"/>
  <c r="J3" i="22"/>
  <c r="V2" i="22"/>
  <c r="P2" i="22"/>
  <c r="M2" i="22"/>
  <c r="J2" i="22"/>
  <c r="P40" i="24" l="1"/>
  <c r="L113" i="24"/>
  <c r="H10" i="24"/>
  <c r="M10" i="24" s="1"/>
  <c r="P124" i="24"/>
  <c r="P126" i="24"/>
  <c r="N29" i="24"/>
  <c r="N30" i="24" s="1"/>
  <c r="P25" i="24"/>
  <c r="P27" i="24"/>
  <c r="P43" i="24"/>
  <c r="P45" i="24"/>
  <c r="P47" i="24"/>
  <c r="P49" i="24"/>
  <c r="P51" i="24"/>
  <c r="P53" i="24"/>
  <c r="P55" i="24"/>
  <c r="P57" i="24"/>
  <c r="P59" i="24"/>
  <c r="P61" i="24"/>
  <c r="P63" i="24"/>
  <c r="P65" i="24"/>
  <c r="P67" i="24"/>
  <c r="P73" i="24"/>
  <c r="P75" i="24"/>
  <c r="P77" i="24"/>
  <c r="P79" i="24"/>
  <c r="P89" i="24"/>
  <c r="P91" i="24"/>
  <c r="P96" i="24"/>
  <c r="P105" i="24"/>
  <c r="P109" i="24"/>
  <c r="P111" i="24"/>
  <c r="G10" i="24"/>
  <c r="L10" i="24" s="1"/>
  <c r="I10" i="24"/>
  <c r="N10" i="24" s="1"/>
  <c r="O29" i="24"/>
  <c r="O30" i="24" s="1"/>
  <c r="P123" i="24"/>
  <c r="P125" i="24"/>
  <c r="P127" i="24"/>
  <c r="N128" i="23"/>
  <c r="N130" i="23" s="1"/>
  <c r="A31" i="23"/>
  <c r="A30" i="23"/>
  <c r="H10" i="23"/>
  <c r="M29" i="23"/>
  <c r="M30" i="23" s="1"/>
  <c r="M31" i="23" s="1"/>
  <c r="I96" i="17" s="1"/>
  <c r="P41" i="23"/>
  <c r="P45" i="23"/>
  <c r="P49" i="23"/>
  <c r="P53" i="23"/>
  <c r="P55" i="23"/>
  <c r="P57" i="23"/>
  <c r="P61" i="23"/>
  <c r="P65" i="23"/>
  <c r="P67" i="23"/>
  <c r="P69" i="23"/>
  <c r="P71" i="23"/>
  <c r="P73" i="23"/>
  <c r="P77" i="23"/>
  <c r="P81" i="23"/>
  <c r="P83" i="23"/>
  <c r="P85" i="23"/>
  <c r="P87" i="23"/>
  <c r="P89" i="23"/>
  <c r="P93" i="23"/>
  <c r="P97" i="23"/>
  <c r="P99" i="23"/>
  <c r="P101" i="23"/>
  <c r="P103" i="23"/>
  <c r="P105" i="23"/>
  <c r="P109" i="23"/>
  <c r="P51" i="23"/>
  <c r="G9" i="23"/>
  <c r="L9" i="23" s="1"/>
  <c r="P125" i="23"/>
  <c r="J10" i="23"/>
  <c r="O10" i="23" s="1"/>
  <c r="I9" i="23"/>
  <c r="N9" i="23" s="1"/>
  <c r="P42" i="23"/>
  <c r="P44" i="23"/>
  <c r="P46" i="23"/>
  <c r="P50" i="23"/>
  <c r="P58" i="23"/>
  <c r="P60" i="23"/>
  <c r="P62" i="23"/>
  <c r="P72" i="23"/>
  <c r="P74" i="23"/>
  <c r="P76" i="23"/>
  <c r="P78" i="23"/>
  <c r="P90" i="23"/>
  <c r="P92" i="23"/>
  <c r="P94" i="23"/>
  <c r="P98" i="23"/>
  <c r="P106" i="23"/>
  <c r="P108" i="23"/>
  <c r="P110" i="23"/>
  <c r="M128" i="23"/>
  <c r="M130" i="23" s="1"/>
  <c r="M132" i="23" s="1"/>
  <c r="L113" i="23"/>
  <c r="L114" i="23" s="1"/>
  <c r="L115" i="23" s="1"/>
  <c r="I97" i="4" s="1"/>
  <c r="P126" i="23"/>
  <c r="N29" i="23"/>
  <c r="N30" i="23" s="1"/>
  <c r="N31" i="23" s="1"/>
  <c r="I96" i="15" s="1"/>
  <c r="L29" i="23"/>
  <c r="L30" i="23" s="1"/>
  <c r="L31" i="23" s="1"/>
  <c r="I96" i="4" s="1"/>
  <c r="P26" i="23"/>
  <c r="P28" i="23"/>
  <c r="I8" i="24"/>
  <c r="N8" i="24" s="1"/>
  <c r="L8" i="24"/>
  <c r="H8" i="23"/>
  <c r="M8" i="23" s="1"/>
  <c r="I9" i="24"/>
  <c r="N9" i="24" s="1"/>
  <c r="A31" i="24"/>
  <c r="A30" i="24"/>
  <c r="L114" i="24"/>
  <c r="L115" i="24" s="1"/>
  <c r="A114" i="24"/>
  <c r="A115" i="24"/>
  <c r="A130" i="24"/>
  <c r="A129" i="24"/>
  <c r="A128" i="24"/>
  <c r="H8" i="24"/>
  <c r="M8" i="24" s="1"/>
  <c r="G9" i="24"/>
  <c r="L9" i="24" s="1"/>
  <c r="N31" i="24"/>
  <c r="N115" i="24"/>
  <c r="L31" i="24"/>
  <c r="J8" i="23"/>
  <c r="M31" i="24"/>
  <c r="J9" i="23"/>
  <c r="O9" i="23" s="1"/>
  <c r="J8" i="24"/>
  <c r="O8" i="24" s="1"/>
  <c r="O31" i="24"/>
  <c r="P24" i="24"/>
  <c r="P41" i="24"/>
  <c r="O113" i="24"/>
  <c r="O114" i="24" s="1"/>
  <c r="O115" i="24" s="1"/>
  <c r="P69" i="24"/>
  <c r="P83" i="24"/>
  <c r="P107" i="24"/>
  <c r="O128" i="24"/>
  <c r="O129" i="24" s="1"/>
  <c r="O130" i="24" s="1"/>
  <c r="H9" i="24"/>
  <c r="M9" i="24" s="1"/>
  <c r="P74" i="24"/>
  <c r="P80" i="24"/>
  <c r="P85" i="24"/>
  <c r="P92" i="24"/>
  <c r="P101" i="24"/>
  <c r="A29" i="24"/>
  <c r="M113" i="24"/>
  <c r="M114" i="24" s="1"/>
  <c r="M115" i="24" s="1"/>
  <c r="P71" i="24"/>
  <c r="P81" i="24"/>
  <c r="P87" i="24"/>
  <c r="P93" i="24"/>
  <c r="P103" i="24"/>
  <c r="P108" i="24"/>
  <c r="N128" i="24"/>
  <c r="N129" i="24" s="1"/>
  <c r="N130" i="24" s="1"/>
  <c r="M128" i="24"/>
  <c r="M129" i="24" s="1"/>
  <c r="M130" i="24" s="1"/>
  <c r="L128" i="24"/>
  <c r="L129" i="24" s="1"/>
  <c r="L130" i="24" s="1"/>
  <c r="P112" i="24"/>
  <c r="A113" i="24"/>
  <c r="T24" i="23"/>
  <c r="N132" i="23"/>
  <c r="I8" i="23"/>
  <c r="N8" i="23" s="1"/>
  <c r="M113" i="23"/>
  <c r="M114" i="23" s="1"/>
  <c r="M115" i="23" s="1"/>
  <c r="I97" i="17" s="1"/>
  <c r="P48" i="23"/>
  <c r="P64" i="23"/>
  <c r="P80" i="23"/>
  <c r="P96" i="23"/>
  <c r="P112" i="23"/>
  <c r="H9" i="23"/>
  <c r="M9" i="23" s="1"/>
  <c r="I10" i="23"/>
  <c r="N10" i="23" s="1"/>
  <c r="P25" i="23"/>
  <c r="P27" i="23"/>
  <c r="P43" i="23"/>
  <c r="P52" i="23"/>
  <c r="P59" i="23"/>
  <c r="P66" i="23"/>
  <c r="P68" i="23"/>
  <c r="P75" i="23"/>
  <c r="P82" i="23"/>
  <c r="P84" i="23"/>
  <c r="P91" i="23"/>
  <c r="P100" i="23"/>
  <c r="P107" i="23"/>
  <c r="G8" i="23"/>
  <c r="L8" i="23" s="1"/>
  <c r="O29" i="23"/>
  <c r="O30" i="23" s="1"/>
  <c r="O31" i="23" s="1"/>
  <c r="O113" i="23"/>
  <c r="O114" i="23" s="1"/>
  <c r="O115" i="23" s="1"/>
  <c r="P40" i="23"/>
  <c r="P47" i="23"/>
  <c r="P54" i="23"/>
  <c r="P56" i="23"/>
  <c r="P63" i="23"/>
  <c r="P70" i="23"/>
  <c r="P79" i="23"/>
  <c r="P86" i="23"/>
  <c r="P88" i="23"/>
  <c r="P95" i="23"/>
  <c r="P102" i="23"/>
  <c r="P104" i="23"/>
  <c r="P111" i="23"/>
  <c r="L128" i="23"/>
  <c r="P39" i="23"/>
  <c r="A29" i="23"/>
  <c r="P24" i="23"/>
  <c r="N113" i="23"/>
  <c r="N114" i="23" s="1"/>
  <c r="N115" i="23" s="1"/>
  <c r="I97" i="15" s="1"/>
  <c r="O128" i="23"/>
  <c r="O130" i="23" s="1"/>
  <c r="O132" i="23" s="1"/>
  <c r="P124" i="23"/>
  <c r="P127" i="23"/>
  <c r="P123" i="23"/>
  <c r="AI21" i="22"/>
  <c r="AM21" i="22"/>
  <c r="AR21" i="22"/>
  <c r="M10" i="23" l="1"/>
  <c r="K10" i="23"/>
  <c r="L10" i="23" s="1"/>
  <c r="L130" i="23"/>
  <c r="L129" i="23"/>
  <c r="I98" i="4" s="1"/>
  <c r="O12" i="24"/>
  <c r="P113" i="24"/>
  <c r="K8" i="23"/>
  <c r="P114" i="24"/>
  <c r="O8" i="23"/>
  <c r="O12" i="23" s="1"/>
  <c r="J12" i="23"/>
  <c r="M12" i="24"/>
  <c r="P29" i="24"/>
  <c r="P30" i="24" s="1"/>
  <c r="K8" i="24"/>
  <c r="K10" i="24"/>
  <c r="P128" i="24"/>
  <c r="P129" i="24" s="1"/>
  <c r="K9" i="24"/>
  <c r="J12" i="24"/>
  <c r="P128" i="23"/>
  <c r="P113" i="23"/>
  <c r="P114" i="23" s="1"/>
  <c r="K9" i="23"/>
  <c r="M12" i="23"/>
  <c r="P29" i="23"/>
  <c r="P30" i="23" s="1"/>
  <c r="H12" i="24" l="1"/>
  <c r="G12" i="23"/>
  <c r="K12" i="24"/>
  <c r="N12" i="24"/>
  <c r="I12" i="24"/>
  <c r="L12" i="24"/>
  <c r="G12" i="24"/>
  <c r="N12" i="23"/>
  <c r="I12" i="23"/>
  <c r="H12" i="23"/>
  <c r="K12" i="23"/>
  <c r="L12" i="23"/>
  <c r="I25" i="17"/>
  <c r="I50" i="15" l="1"/>
  <c r="I67" i="17"/>
  <c r="I71" i="17"/>
  <c r="I146" i="17"/>
  <c r="I140" i="17"/>
  <c r="B129" i="17"/>
  <c r="B127" i="17"/>
  <c r="B126" i="17"/>
  <c r="B125" i="17"/>
  <c r="B124" i="17"/>
  <c r="B123" i="17"/>
  <c r="H112" i="17"/>
  <c r="I100" i="17"/>
  <c r="I127" i="17" s="1"/>
  <c r="I91" i="17"/>
  <c r="I86" i="17"/>
  <c r="H86" i="17"/>
  <c r="H82" i="17"/>
  <c r="K52" i="17"/>
  <c r="K51" i="17"/>
  <c r="K50" i="17"/>
  <c r="I50" i="17"/>
  <c r="K49" i="17"/>
  <c r="I49" i="17"/>
  <c r="I55" i="17" s="1"/>
  <c r="I61" i="17" s="1"/>
  <c r="H46" i="17"/>
  <c r="H70" i="17" s="1"/>
  <c r="H35" i="17"/>
  <c r="I24" i="17"/>
  <c r="I26" i="17" s="1"/>
  <c r="I29" i="17" s="1"/>
  <c r="I68" i="17" s="1"/>
  <c r="AP6" i="19"/>
  <c r="AP7" i="19"/>
  <c r="AP8" i="19"/>
  <c r="AP9" i="19"/>
  <c r="AP11" i="19"/>
  <c r="AO5" i="19"/>
  <c r="AO10" i="19"/>
  <c r="AO12" i="19"/>
  <c r="AH18" i="19"/>
  <c r="AH19" i="19"/>
  <c r="AH17" i="19"/>
  <c r="AH4" i="19"/>
  <c r="AH5" i="19"/>
  <c r="AH6" i="19"/>
  <c r="AH7" i="19"/>
  <c r="AH8" i="19"/>
  <c r="AH9" i="19"/>
  <c r="AH10" i="19"/>
  <c r="AH11" i="19"/>
  <c r="AH12" i="19"/>
  <c r="AH13" i="19"/>
  <c r="AH14" i="19"/>
  <c r="AH15" i="19"/>
  <c r="AH16" i="19"/>
  <c r="AH20" i="19"/>
  <c r="AH3" i="19"/>
  <c r="AG12" i="19"/>
  <c r="AG10" i="19"/>
  <c r="AF17" i="19"/>
  <c r="AF18" i="19"/>
  <c r="AF4" i="19"/>
  <c r="AF5" i="19"/>
  <c r="AF6" i="19"/>
  <c r="AF7" i="19"/>
  <c r="AF8" i="19"/>
  <c r="AF9" i="19"/>
  <c r="AF11" i="19"/>
  <c r="AF13" i="19"/>
  <c r="AF14" i="19"/>
  <c r="AF15" i="19"/>
  <c r="AF16" i="19"/>
  <c r="AF19" i="19"/>
  <c r="AF20" i="19"/>
  <c r="AF3" i="19"/>
  <c r="J3" i="19"/>
  <c r="J4" i="19"/>
  <c r="J5" i="19"/>
  <c r="J6" i="19"/>
  <c r="J7" i="19"/>
  <c r="J8" i="19"/>
  <c r="J9" i="19"/>
  <c r="J10" i="19"/>
  <c r="J11" i="19"/>
  <c r="J12" i="19"/>
  <c r="J13" i="19"/>
  <c r="J14" i="19"/>
  <c r="J15" i="19"/>
  <c r="J16" i="19"/>
  <c r="J17" i="19"/>
  <c r="J18" i="19"/>
  <c r="J19" i="19"/>
  <c r="J20" i="19"/>
  <c r="T4" i="19"/>
  <c r="T5" i="19"/>
  <c r="Z6" i="19"/>
  <c r="Z8" i="19"/>
  <c r="Z9" i="19"/>
  <c r="O10" i="19"/>
  <c r="Z13" i="19"/>
  <c r="Z14" i="19"/>
  <c r="T16" i="19"/>
  <c r="T17" i="19"/>
  <c r="T18" i="19"/>
  <c r="Z19" i="19"/>
  <c r="Z17" i="19"/>
  <c r="Z15" i="19"/>
  <c r="T11" i="19"/>
  <c r="T9" i="19"/>
  <c r="AR20" i="19"/>
  <c r="AM20" i="19"/>
  <c r="AK20" i="19"/>
  <c r="AI20" i="19"/>
  <c r="AG20" i="19"/>
  <c r="AE20" i="19"/>
  <c r="AC20" i="19"/>
  <c r="AB20" i="19"/>
  <c r="X20" i="19"/>
  <c r="V20" i="19"/>
  <c r="T20" i="19"/>
  <c r="R20" i="19"/>
  <c r="P20" i="19"/>
  <c r="M20" i="19"/>
  <c r="Z20" i="19"/>
  <c r="AR19" i="19"/>
  <c r="AM19" i="19"/>
  <c r="AK19" i="19"/>
  <c r="AI19" i="19"/>
  <c r="AG19" i="19"/>
  <c r="AE19" i="19"/>
  <c r="AC19" i="19"/>
  <c r="AB19" i="19"/>
  <c r="X19" i="19"/>
  <c r="V19" i="19"/>
  <c r="T19" i="19"/>
  <c r="R19" i="19"/>
  <c r="P19" i="19"/>
  <c r="M19" i="19"/>
  <c r="AR18" i="19"/>
  <c r="AM18" i="19"/>
  <c r="AK18" i="19"/>
  <c r="AI18" i="19"/>
  <c r="AG18" i="19"/>
  <c r="AE18" i="19"/>
  <c r="AC18" i="19"/>
  <c r="AB18" i="19"/>
  <c r="X18" i="19"/>
  <c r="V18" i="19"/>
  <c r="R18" i="19"/>
  <c r="P18" i="19"/>
  <c r="M18" i="19"/>
  <c r="AR17" i="19"/>
  <c r="AM17" i="19"/>
  <c r="AK17" i="19"/>
  <c r="AI17" i="19"/>
  <c r="AG17" i="19"/>
  <c r="AE17" i="19"/>
  <c r="AC17" i="19"/>
  <c r="AB17" i="19"/>
  <c r="X17" i="19"/>
  <c r="V17" i="19"/>
  <c r="R17" i="19"/>
  <c r="P17" i="19"/>
  <c r="M17" i="19"/>
  <c r="AR16" i="19"/>
  <c r="AM16" i="19"/>
  <c r="AK16" i="19"/>
  <c r="AI16" i="19"/>
  <c r="AG16" i="19"/>
  <c r="AE16" i="19"/>
  <c r="AC16" i="19"/>
  <c r="AB16" i="19"/>
  <c r="X16" i="19"/>
  <c r="V16" i="19"/>
  <c r="R16" i="19"/>
  <c r="P16" i="19"/>
  <c r="M16" i="19"/>
  <c r="Z16" i="19"/>
  <c r="AR15" i="19"/>
  <c r="AM15" i="19"/>
  <c r="AK15" i="19"/>
  <c r="AI15" i="19"/>
  <c r="AG15" i="19"/>
  <c r="AE15" i="19"/>
  <c r="AC15" i="19"/>
  <c r="AB15" i="19"/>
  <c r="X15" i="19"/>
  <c r="V15" i="19"/>
  <c r="T15" i="19"/>
  <c r="R15" i="19"/>
  <c r="P15" i="19"/>
  <c r="M15" i="19"/>
  <c r="AR14" i="19"/>
  <c r="AM14" i="19"/>
  <c r="AK14" i="19"/>
  <c r="AI14" i="19"/>
  <c r="AG14" i="19"/>
  <c r="AE14" i="19"/>
  <c r="AC14" i="19"/>
  <c r="AB14" i="19"/>
  <c r="X14" i="19"/>
  <c r="V14" i="19"/>
  <c r="T14" i="19"/>
  <c r="R14" i="19"/>
  <c r="P14" i="19"/>
  <c r="M14" i="19"/>
  <c r="AR13" i="19"/>
  <c r="AM13" i="19"/>
  <c r="AK13" i="19"/>
  <c r="AI13" i="19"/>
  <c r="AG13" i="19"/>
  <c r="AE13" i="19"/>
  <c r="AC13" i="19"/>
  <c r="AB13" i="19"/>
  <c r="X13" i="19"/>
  <c r="V13" i="19"/>
  <c r="T13" i="19"/>
  <c r="R13" i="19"/>
  <c r="P13" i="19"/>
  <c r="M13" i="19"/>
  <c r="AR12" i="19"/>
  <c r="AM12" i="19"/>
  <c r="AI12" i="19"/>
  <c r="AE12" i="19"/>
  <c r="AC12" i="19"/>
  <c r="AB12" i="19"/>
  <c r="X12" i="19"/>
  <c r="V12" i="19"/>
  <c r="T12" i="19"/>
  <c r="R12" i="19"/>
  <c r="P12" i="19"/>
  <c r="M12" i="19"/>
  <c r="Z12" i="19"/>
  <c r="AR11" i="19"/>
  <c r="AM11" i="19"/>
  <c r="AI11" i="19"/>
  <c r="AG11" i="19"/>
  <c r="AE11" i="19"/>
  <c r="AC11" i="19"/>
  <c r="AB11" i="19"/>
  <c r="Z11" i="19"/>
  <c r="X11" i="19"/>
  <c r="V11" i="19"/>
  <c r="R11" i="19"/>
  <c r="P11" i="19"/>
  <c r="M11" i="19"/>
  <c r="AR10" i="19"/>
  <c r="AM10" i="19"/>
  <c r="AI10" i="19"/>
  <c r="AE10" i="19"/>
  <c r="AC10" i="19"/>
  <c r="AB10" i="19"/>
  <c r="Z10" i="19"/>
  <c r="X10" i="19"/>
  <c r="V10" i="19"/>
  <c r="R10" i="19"/>
  <c r="P10" i="19"/>
  <c r="M10" i="19"/>
  <c r="AR9" i="19"/>
  <c r="AM9" i="19"/>
  <c r="AI9" i="19"/>
  <c r="AG9" i="19"/>
  <c r="AE9" i="19"/>
  <c r="AC9" i="19"/>
  <c r="AB9" i="19"/>
  <c r="X9" i="19"/>
  <c r="V9" i="19"/>
  <c r="R9" i="19"/>
  <c r="P9" i="19"/>
  <c r="M9" i="19"/>
  <c r="AR8" i="19"/>
  <c r="AM8" i="19"/>
  <c r="AI8" i="19"/>
  <c r="AG8" i="19"/>
  <c r="AE8" i="19"/>
  <c r="AC8" i="19"/>
  <c r="AB8" i="19"/>
  <c r="X8" i="19"/>
  <c r="V8" i="19"/>
  <c r="T8" i="19"/>
  <c r="R8" i="19"/>
  <c r="P8" i="19"/>
  <c r="M8" i="19"/>
  <c r="L8" i="19"/>
  <c r="O8" i="19"/>
  <c r="AR7" i="19"/>
  <c r="AM7" i="19"/>
  <c r="AI7" i="19"/>
  <c r="AG7" i="19"/>
  <c r="AE7" i="19"/>
  <c r="AC7" i="19"/>
  <c r="AB7" i="19"/>
  <c r="Z7" i="19"/>
  <c r="X7" i="19"/>
  <c r="V7" i="19"/>
  <c r="T7" i="19"/>
  <c r="R7" i="19"/>
  <c r="P7" i="19"/>
  <c r="M7" i="19"/>
  <c r="L7" i="19"/>
  <c r="O7" i="19"/>
  <c r="AR6" i="19"/>
  <c r="AM6" i="19"/>
  <c r="AI6" i="19"/>
  <c r="AG6" i="19"/>
  <c r="AE6" i="19"/>
  <c r="AC6" i="19"/>
  <c r="AB6" i="19"/>
  <c r="X6" i="19"/>
  <c r="V6" i="19"/>
  <c r="T6" i="19"/>
  <c r="R6" i="19"/>
  <c r="P6" i="19"/>
  <c r="M6" i="19"/>
  <c r="L6" i="19"/>
  <c r="AR5" i="19"/>
  <c r="AM5" i="19"/>
  <c r="AI5" i="19"/>
  <c r="AG5" i="19"/>
  <c r="AE5" i="19"/>
  <c r="AC5" i="19"/>
  <c r="AB5" i="19"/>
  <c r="Z5" i="19"/>
  <c r="X5" i="19"/>
  <c r="V5" i="19"/>
  <c r="R5" i="19"/>
  <c r="P5" i="19"/>
  <c r="M5" i="19"/>
  <c r="AR4" i="19"/>
  <c r="AM4" i="19"/>
  <c r="AK4" i="19"/>
  <c r="AI4" i="19"/>
  <c r="AG4" i="19"/>
  <c r="AE4" i="19"/>
  <c r="AC4" i="19"/>
  <c r="AB4" i="19"/>
  <c r="Z4" i="19"/>
  <c r="X4" i="19"/>
  <c r="V4" i="19"/>
  <c r="R4" i="19"/>
  <c r="P4" i="19"/>
  <c r="M4" i="19"/>
  <c r="O4" i="19"/>
  <c r="AR3" i="19"/>
  <c r="AM3" i="19"/>
  <c r="AK3" i="19"/>
  <c r="AI3" i="19"/>
  <c r="AG3" i="19"/>
  <c r="AE3" i="19"/>
  <c r="AC3" i="19"/>
  <c r="AB3" i="19"/>
  <c r="Z3" i="19"/>
  <c r="X3" i="19"/>
  <c r="V3" i="19"/>
  <c r="T3" i="19"/>
  <c r="R3" i="19"/>
  <c r="P3" i="19"/>
  <c r="M3" i="19"/>
  <c r="L3" i="19"/>
  <c r="O3" i="19"/>
  <c r="G21" i="19"/>
  <c r="V2" i="19"/>
  <c r="P2" i="19"/>
  <c r="M2" i="19"/>
  <c r="J2" i="19"/>
  <c r="G5" i="14"/>
  <c r="I146" i="16"/>
  <c r="I140" i="16"/>
  <c r="B129" i="16"/>
  <c r="B127" i="16"/>
  <c r="B126" i="16"/>
  <c r="B125" i="16"/>
  <c r="B124" i="16"/>
  <c r="B123" i="16"/>
  <c r="H112" i="16"/>
  <c r="I100" i="16"/>
  <c r="I127" i="16" s="1"/>
  <c r="I91" i="16"/>
  <c r="I86" i="16"/>
  <c r="H86" i="16"/>
  <c r="H82" i="16"/>
  <c r="I71" i="16"/>
  <c r="I70" i="16"/>
  <c r="H70" i="16"/>
  <c r="H72" i="16" s="1"/>
  <c r="I69" i="16"/>
  <c r="I68" i="16"/>
  <c r="I67" i="16"/>
  <c r="I66" i="16"/>
  <c r="K52" i="16"/>
  <c r="K51" i="16"/>
  <c r="K50" i="16"/>
  <c r="K49" i="16"/>
  <c r="I49" i="16"/>
  <c r="I55" i="16" s="1"/>
  <c r="I61" i="16" s="1"/>
  <c r="H46" i="16"/>
  <c r="H35" i="16"/>
  <c r="I25" i="16"/>
  <c r="I24" i="16"/>
  <c r="I26" i="16" s="1"/>
  <c r="I29" i="16" s="1"/>
  <c r="I146" i="15"/>
  <c r="I140" i="15"/>
  <c r="B129" i="15"/>
  <c r="B127" i="15"/>
  <c r="B126" i="15"/>
  <c r="B125" i="15"/>
  <c r="B124" i="15"/>
  <c r="B123" i="15"/>
  <c r="H112" i="15"/>
  <c r="I100" i="15"/>
  <c r="I127" i="15" s="1"/>
  <c r="I91" i="15"/>
  <c r="I86" i="15"/>
  <c r="H86" i="15"/>
  <c r="H82" i="15"/>
  <c r="K52" i="15"/>
  <c r="K51" i="15"/>
  <c r="K50" i="15"/>
  <c r="H46" i="15"/>
  <c r="H70" i="15" s="1"/>
  <c r="H35" i="15"/>
  <c r="I66" i="15"/>
  <c r="D64" i="14"/>
  <c r="D62" i="14"/>
  <c r="D63" i="14" s="1"/>
  <c r="G52" i="14"/>
  <c r="D52" i="14"/>
  <c r="E53" i="14" s="1"/>
  <c r="D51" i="14"/>
  <c r="D50" i="14"/>
  <c r="D49" i="14"/>
  <c r="J48" i="14"/>
  <c r="G44" i="14"/>
  <c r="B44" i="14"/>
  <c r="G43" i="14"/>
  <c r="B43" i="14"/>
  <c r="G39" i="14"/>
  <c r="B39" i="14"/>
  <c r="G38" i="14"/>
  <c r="B38" i="14"/>
  <c r="G34" i="14"/>
  <c r="D39" i="14"/>
  <c r="E39" i="14" s="1"/>
  <c r="B34" i="14"/>
  <c r="G33" i="14"/>
  <c r="D38" i="14"/>
  <c r="E38" i="14" s="1"/>
  <c r="B33" i="14"/>
  <c r="O30" i="14"/>
  <c r="M29" i="14"/>
  <c r="N26" i="14"/>
  <c r="O26" i="14" s="1"/>
  <c r="M26" i="14"/>
  <c r="N25" i="14"/>
  <c r="O25" i="14" s="1"/>
  <c r="M25" i="14"/>
  <c r="N24" i="14"/>
  <c r="O24" i="14" s="1"/>
  <c r="O27" i="14" s="1"/>
  <c r="M24" i="14"/>
  <c r="H16" i="14"/>
  <c r="I16" i="14" s="1"/>
  <c r="J16" i="14" s="1"/>
  <c r="B16" i="14" s="1"/>
  <c r="G16" i="14"/>
  <c r="D16" i="14"/>
  <c r="H15" i="14"/>
  <c r="I15" i="14" s="1"/>
  <c r="J15" i="14" s="1"/>
  <c r="B15" i="14" s="1"/>
  <c r="E15" i="14" s="1"/>
  <c r="G15" i="14"/>
  <c r="D15" i="14"/>
  <c r="I11" i="14"/>
  <c r="H11" i="14"/>
  <c r="G11" i="14"/>
  <c r="D11" i="14"/>
  <c r="E11" i="14" s="1"/>
  <c r="B11" i="14"/>
  <c r="H10" i="14"/>
  <c r="G10" i="14"/>
  <c r="D10" i="14"/>
  <c r="B10" i="14"/>
  <c r="E10" i="14" s="1"/>
  <c r="I6" i="14"/>
  <c r="H6" i="14"/>
  <c r="B6" i="14" s="1"/>
  <c r="E6" i="14" s="1"/>
  <c r="G6" i="14"/>
  <c r="H5" i="14"/>
  <c r="B5" i="14" s="1"/>
  <c r="E5" i="14" s="1"/>
  <c r="I72" i="16" l="1"/>
  <c r="I125" i="16" s="1"/>
  <c r="D44" i="14"/>
  <c r="E44" i="14" s="1"/>
  <c r="E34" i="14"/>
  <c r="I70" i="17"/>
  <c r="I69" i="17"/>
  <c r="I66" i="17"/>
  <c r="I72" i="17" s="1"/>
  <c r="I125" i="17" s="1"/>
  <c r="H72" i="17"/>
  <c r="I123" i="17"/>
  <c r="I34" i="17"/>
  <c r="I33" i="17"/>
  <c r="D43" i="14"/>
  <c r="E43" i="14" s="1"/>
  <c r="E33" i="14"/>
  <c r="L10" i="19"/>
  <c r="T10" i="19"/>
  <c r="Z18" i="19"/>
  <c r="O6" i="19"/>
  <c r="L4" i="19"/>
  <c r="O5" i="19"/>
  <c r="O9" i="19"/>
  <c r="O11" i="19"/>
  <c r="L5" i="19"/>
  <c r="L9" i="19"/>
  <c r="L11" i="19"/>
  <c r="AM21" i="19"/>
  <c r="AG21" i="19"/>
  <c r="AH21" i="19"/>
  <c r="AI21" i="19"/>
  <c r="AR21" i="19"/>
  <c r="AF21" i="19"/>
  <c r="O12" i="19"/>
  <c r="O13" i="19"/>
  <c r="O17" i="19"/>
  <c r="O18" i="19"/>
  <c r="O19" i="19"/>
  <c r="O20" i="19"/>
  <c r="O14" i="19"/>
  <c r="O15" i="19"/>
  <c r="O16" i="19"/>
  <c r="L12" i="19"/>
  <c r="L13" i="19"/>
  <c r="L14" i="19"/>
  <c r="L15" i="19"/>
  <c r="L16" i="19"/>
  <c r="L17" i="19"/>
  <c r="L18" i="19"/>
  <c r="L19" i="19"/>
  <c r="L20" i="19"/>
  <c r="I78" i="16"/>
  <c r="I79" i="16"/>
  <c r="I123" i="16"/>
  <c r="I81" i="16"/>
  <c r="I77" i="16"/>
  <c r="I34" i="16"/>
  <c r="I80" i="16"/>
  <c r="I76" i="16"/>
  <c r="I33" i="16"/>
  <c r="I70" i="15"/>
  <c r="H72" i="15"/>
  <c r="I67" i="15"/>
  <c r="I25" i="15"/>
  <c r="I69" i="15"/>
  <c r="I24" i="15"/>
  <c r="K49" i="15"/>
  <c r="I49" i="15" s="1"/>
  <c r="I55" i="15" s="1"/>
  <c r="I61" i="15" s="1"/>
  <c r="I68" i="15"/>
  <c r="I71" i="15"/>
  <c r="E16" i="14"/>
  <c r="E7" i="14"/>
  <c r="B21" i="14" s="1"/>
  <c r="D21" i="14" s="1"/>
  <c r="E12" i="14"/>
  <c r="B22" i="14" s="1"/>
  <c r="D22" i="14" s="1"/>
  <c r="E17" i="14"/>
  <c r="B23" i="14" s="1"/>
  <c r="D23" i="14" s="1"/>
  <c r="E40" i="14"/>
  <c r="D54" i="14"/>
  <c r="D53" i="14"/>
  <c r="E35" i="14" l="1"/>
  <c r="E45" i="14"/>
  <c r="I35" i="17"/>
  <c r="I59" i="17" s="1"/>
  <c r="I35" i="16"/>
  <c r="I82" i="16"/>
  <c r="I90" i="16" s="1"/>
  <c r="I92" i="16" s="1"/>
  <c r="I126" i="16" s="1"/>
  <c r="I72" i="15"/>
  <c r="I125" i="15" s="1"/>
  <c r="I26" i="15"/>
  <c r="I29" i="15" s="1"/>
  <c r="D24" i="14"/>
  <c r="D26" i="14" s="1"/>
  <c r="E62" i="14"/>
  <c r="D25" i="14"/>
  <c r="I146" i="13"/>
  <c r="I140" i="13"/>
  <c r="B129" i="13"/>
  <c r="B127" i="13"/>
  <c r="B126" i="13"/>
  <c r="B125" i="13"/>
  <c r="B124" i="13"/>
  <c r="B123" i="13"/>
  <c r="H112" i="13"/>
  <c r="I100" i="13"/>
  <c r="I127" i="13" s="1"/>
  <c r="I91" i="13"/>
  <c r="I86" i="13"/>
  <c r="H86" i="13"/>
  <c r="H82" i="13"/>
  <c r="H70" i="13"/>
  <c r="H72" i="13" s="1"/>
  <c r="K52" i="13"/>
  <c r="K51" i="13"/>
  <c r="K50" i="13"/>
  <c r="I50" i="13"/>
  <c r="H46" i="13"/>
  <c r="H35" i="13"/>
  <c r="I23" i="13"/>
  <c r="I66" i="13" s="1"/>
  <c r="K49" i="4"/>
  <c r="I49" i="4" s="1"/>
  <c r="K36" i="17" l="1"/>
  <c r="I59" i="16"/>
  <c r="K36" i="16"/>
  <c r="I123" i="15"/>
  <c r="I34" i="15"/>
  <c r="I33" i="15"/>
  <c r="I72" i="13"/>
  <c r="I125" i="13" s="1"/>
  <c r="I70" i="13"/>
  <c r="I68" i="13"/>
  <c r="I25" i="13"/>
  <c r="I69" i="13"/>
  <c r="I67" i="13"/>
  <c r="I24" i="13"/>
  <c r="K49" i="13"/>
  <c r="I49" i="13" s="1"/>
  <c r="I55" i="13" s="1"/>
  <c r="I61" i="13" s="1"/>
  <c r="I71" i="13"/>
  <c r="D8" i="6"/>
  <c r="D7" i="6"/>
  <c r="D6" i="6"/>
  <c r="D5" i="6"/>
  <c r="D4" i="6"/>
  <c r="I35" i="15" l="1"/>
  <c r="I59" i="15" s="1"/>
  <c r="I44" i="17"/>
  <c r="I45" i="17"/>
  <c r="I39" i="17"/>
  <c r="I40" i="17"/>
  <c r="I41" i="17"/>
  <c r="I43" i="17"/>
  <c r="I42" i="17"/>
  <c r="I38" i="17"/>
  <c r="I43" i="16"/>
  <c r="I39" i="16"/>
  <c r="I45" i="16"/>
  <c r="I40" i="16"/>
  <c r="I42" i="16"/>
  <c r="I38" i="16"/>
  <c r="I41" i="16"/>
  <c r="I44" i="16"/>
  <c r="I26" i="13"/>
  <c r="I29" i="13" s="1"/>
  <c r="D12" i="6"/>
  <c r="D14" i="6" s="1"/>
  <c r="I25" i="4"/>
  <c r="K36" i="15" l="1"/>
  <c r="I41" i="15" s="1"/>
  <c r="I46" i="16"/>
  <c r="I60" i="16" s="1"/>
  <c r="I62" i="16" s="1"/>
  <c r="K74" i="16" s="1"/>
  <c r="I46" i="17"/>
  <c r="I60" i="17" s="1"/>
  <c r="I62" i="17" s="1"/>
  <c r="I124" i="17" s="1"/>
  <c r="I39" i="15"/>
  <c r="I45" i="15"/>
  <c r="I42" i="15"/>
  <c r="I38" i="15"/>
  <c r="I78" i="13"/>
  <c r="I80" i="13"/>
  <c r="I33" i="13"/>
  <c r="I123" i="13"/>
  <c r="I81" i="13"/>
  <c r="I77" i="13"/>
  <c r="I34" i="13"/>
  <c r="I76" i="13"/>
  <c r="I82" i="13" s="1"/>
  <c r="I90" i="13" s="1"/>
  <c r="I92" i="13" s="1"/>
  <c r="I126" i="13" s="1"/>
  <c r="I79" i="13"/>
  <c r="I44" i="15" l="1"/>
  <c r="I43" i="15"/>
  <c r="I40" i="15"/>
  <c r="I124" i="16"/>
  <c r="I128" i="16" s="1"/>
  <c r="I104" i="16" s="1"/>
  <c r="K74" i="17"/>
  <c r="I46" i="15"/>
  <c r="I60" i="15" s="1"/>
  <c r="I62" i="15" s="1"/>
  <c r="I35" i="13"/>
  <c r="K52" i="4"/>
  <c r="I79" i="17" l="1"/>
  <c r="I80" i="17"/>
  <c r="I81" i="17"/>
  <c r="I77" i="17"/>
  <c r="I78" i="17"/>
  <c r="I76" i="17"/>
  <c r="I105" i="16"/>
  <c r="I115" i="16" s="1"/>
  <c r="I117" i="16" s="1"/>
  <c r="I124" i="15"/>
  <c r="K74" i="15"/>
  <c r="I59" i="13"/>
  <c r="K36" i="13"/>
  <c r="K51" i="4"/>
  <c r="I79" i="15" l="1"/>
  <c r="I80" i="15"/>
  <c r="I76" i="15"/>
  <c r="I77" i="15"/>
  <c r="I81" i="15"/>
  <c r="I78" i="15"/>
  <c r="I82" i="17"/>
  <c r="I90" i="17" s="1"/>
  <c r="I92" i="17" s="1"/>
  <c r="I126" i="17" s="1"/>
  <c r="I128" i="17" s="1"/>
  <c r="I104" i="17" s="1"/>
  <c r="I105" i="17" s="1"/>
  <c r="I115" i="17" s="1"/>
  <c r="I117" i="17" s="1"/>
  <c r="I109" i="16"/>
  <c r="I119" i="16"/>
  <c r="I108" i="16"/>
  <c r="I107" i="16"/>
  <c r="I145" i="16" s="1"/>
  <c r="I148" i="16" s="1"/>
  <c r="I43" i="13"/>
  <c r="I39" i="13"/>
  <c r="I45" i="13"/>
  <c r="I41" i="13"/>
  <c r="I44" i="13"/>
  <c r="I42" i="13"/>
  <c r="I38" i="13"/>
  <c r="I40" i="13"/>
  <c r="K50" i="4"/>
  <c r="I82" i="15" l="1"/>
  <c r="I90" i="15" s="1"/>
  <c r="I92" i="15" s="1"/>
  <c r="I126" i="15" s="1"/>
  <c r="I128" i="15" s="1"/>
  <c r="I104" i="15" s="1"/>
  <c r="I105" i="15" s="1"/>
  <c r="I115" i="15" s="1"/>
  <c r="I117" i="15" s="1"/>
  <c r="I107" i="17"/>
  <c r="I145" i="17" s="1"/>
  <c r="I148" i="17" s="1"/>
  <c r="I109" i="17"/>
  <c r="I119" i="17"/>
  <c r="I108" i="17"/>
  <c r="I110" i="16"/>
  <c r="I46" i="13"/>
  <c r="I60" i="13" s="1"/>
  <c r="I62" i="13" s="1"/>
  <c r="I24" i="4"/>
  <c r="I110" i="17" l="1"/>
  <c r="I147" i="16"/>
  <c r="I129" i="16"/>
  <c r="I130" i="16" s="1"/>
  <c r="I109" i="15"/>
  <c r="I107" i="15"/>
  <c r="I145" i="15" s="1"/>
  <c r="I148" i="15" s="1"/>
  <c r="I119" i="15"/>
  <c r="I108" i="15"/>
  <c r="I124" i="13"/>
  <c r="I128" i="13" s="1"/>
  <c r="K74" i="13"/>
  <c r="I26" i="4"/>
  <c r="B4" i="7"/>
  <c r="D3" i="7"/>
  <c r="D2" i="7"/>
  <c r="I146" i="4"/>
  <c r="I140" i="4"/>
  <c r="B129" i="4"/>
  <c r="B127" i="4"/>
  <c r="B126" i="4"/>
  <c r="B125" i="4"/>
  <c r="B124" i="4"/>
  <c r="B123" i="4"/>
  <c r="H112" i="4"/>
  <c r="H86" i="4"/>
  <c r="H82" i="4"/>
  <c r="H46" i="4"/>
  <c r="H35" i="4"/>
  <c r="I147" i="17" l="1"/>
  <c r="I129" i="17"/>
  <c r="I130" i="17" s="1"/>
  <c r="B162" i="16"/>
  <c r="D152" i="16"/>
  <c r="I110" i="15"/>
  <c r="I104" i="13"/>
  <c r="I29" i="4"/>
  <c r="E4" i="7"/>
  <c r="H70" i="4"/>
  <c r="I55" i="4"/>
  <c r="I61" i="4" s="1"/>
  <c r="AK12" i="19" l="1"/>
  <c r="AP12" i="19" s="1"/>
  <c r="AK10" i="19"/>
  <c r="AP10" i="19" s="1"/>
  <c r="B162" i="17"/>
  <c r="D152" i="17"/>
  <c r="AK12" i="22"/>
  <c r="AP12" i="22" s="1"/>
  <c r="AK5" i="19"/>
  <c r="AK5" i="22"/>
  <c r="AN5" i="22" s="1"/>
  <c r="AK10" i="22"/>
  <c r="AP10" i="22" s="1"/>
  <c r="H72" i="4"/>
  <c r="AQ8" i="22"/>
  <c r="AQ6" i="22"/>
  <c r="AQ4" i="22"/>
  <c r="AQ13" i="22"/>
  <c r="AQ15" i="22"/>
  <c r="AQ16" i="22"/>
  <c r="AN10" i="22"/>
  <c r="AQ10" i="22"/>
  <c r="AQ12" i="22"/>
  <c r="AS12" i="22" s="1"/>
  <c r="AN12" i="22"/>
  <c r="AQ3" i="22"/>
  <c r="AL21" i="22"/>
  <c r="AQ19" i="22"/>
  <c r="AQ9" i="22"/>
  <c r="AQ14" i="22"/>
  <c r="AQ20" i="22"/>
  <c r="AQ7" i="22"/>
  <c r="AQ17" i="22"/>
  <c r="AQ18" i="22"/>
  <c r="AQ5" i="22"/>
  <c r="AQ11" i="22"/>
  <c r="I34" i="4"/>
  <c r="I147" i="15"/>
  <c r="I129" i="15"/>
  <c r="I130" i="15" s="1"/>
  <c r="I105" i="13"/>
  <c r="I115" i="13" s="1"/>
  <c r="I117" i="13" s="1"/>
  <c r="I123" i="4"/>
  <c r="I33" i="4"/>
  <c r="I35" i="4" s="1"/>
  <c r="AP5" i="19" l="1"/>
  <c r="AP21" i="19" s="1"/>
  <c r="AK21" i="19"/>
  <c r="AK21" i="22"/>
  <c r="AP5" i="22"/>
  <c r="AP21" i="22" s="1"/>
  <c r="AS10" i="22"/>
  <c r="AQ21" i="22"/>
  <c r="AL16" i="19"/>
  <c r="AQ16" i="19" s="1"/>
  <c r="AL6" i="19"/>
  <c r="AQ6" i="19" s="1"/>
  <c r="AL10" i="19"/>
  <c r="AL14" i="19"/>
  <c r="AQ14" i="19" s="1"/>
  <c r="AL19" i="19"/>
  <c r="AQ19" i="19" s="1"/>
  <c r="AL20" i="19"/>
  <c r="AQ20" i="19" s="1"/>
  <c r="AL7" i="19"/>
  <c r="AQ7" i="19" s="1"/>
  <c r="AL11" i="19"/>
  <c r="AQ11" i="19" s="1"/>
  <c r="AL15" i="19"/>
  <c r="AQ15" i="19" s="1"/>
  <c r="AL17" i="19"/>
  <c r="AQ17" i="19" s="1"/>
  <c r="AL4" i="19"/>
  <c r="AQ4" i="19" s="1"/>
  <c r="AL8" i="19"/>
  <c r="AQ8" i="19" s="1"/>
  <c r="AL12" i="19"/>
  <c r="AL3" i="19"/>
  <c r="AL18" i="19"/>
  <c r="AQ18" i="19" s="1"/>
  <c r="AL5" i="19"/>
  <c r="AL9" i="19"/>
  <c r="AQ9" i="19" s="1"/>
  <c r="AL13" i="19"/>
  <c r="AQ13" i="19" s="1"/>
  <c r="D152" i="15"/>
  <c r="B162" i="15"/>
  <c r="I109" i="13"/>
  <c r="I119" i="13"/>
  <c r="I108" i="13"/>
  <c r="I107" i="13"/>
  <c r="I145" i="13" s="1"/>
  <c r="I148" i="13" s="1"/>
  <c r="I59" i="4"/>
  <c r="K36" i="4"/>
  <c r="AS5" i="22" l="1"/>
  <c r="AQ10" i="19"/>
  <c r="AS10" i="19" s="1"/>
  <c r="AN10" i="19"/>
  <c r="AQ5" i="19"/>
  <c r="AS5" i="19" s="1"/>
  <c r="AN5" i="19"/>
  <c r="AQ3" i="19"/>
  <c r="AL21" i="19"/>
  <c r="AQ12" i="19"/>
  <c r="AS12" i="19" s="1"/>
  <c r="AN12" i="19"/>
  <c r="I110" i="13"/>
  <c r="I100" i="4"/>
  <c r="I127" i="4" s="1"/>
  <c r="I40" i="4"/>
  <c r="I41" i="4"/>
  <c r="I45" i="4"/>
  <c r="I39" i="4"/>
  <c r="I38" i="4"/>
  <c r="I44" i="4"/>
  <c r="I43" i="4"/>
  <c r="I42" i="4"/>
  <c r="AQ21" i="19" l="1"/>
  <c r="I147" i="13"/>
  <c r="I129" i="13"/>
  <c r="I130" i="13" s="1"/>
  <c r="I46" i="4"/>
  <c r="I60" i="4" s="1"/>
  <c r="I62" i="4" s="1"/>
  <c r="I72" i="4" s="1"/>
  <c r="I125" i="4" s="1"/>
  <c r="D152" i="13" l="1"/>
  <c r="B162" i="13"/>
  <c r="I124" i="4"/>
  <c r="K74" i="4"/>
  <c r="I86" i="4" l="1"/>
  <c r="I91" i="4" s="1"/>
  <c r="I82" i="4" l="1"/>
  <c r="I90" i="4" s="1"/>
  <c r="I92" i="4" s="1"/>
  <c r="I126" i="4" s="1"/>
  <c r="I128" i="4" s="1"/>
  <c r="I104" i="4" s="1"/>
  <c r="I105" i="4" s="1"/>
  <c r="I115" i="4" s="1"/>
  <c r="I117" i="4" s="1"/>
  <c r="I109" i="4" s="1"/>
  <c r="I108" i="4" l="1"/>
  <c r="I119" i="4"/>
  <c r="I107" i="4"/>
  <c r="I145" i="4" s="1"/>
  <c r="I148" i="4" s="1"/>
  <c r="I110" i="4" l="1"/>
  <c r="I129" i="4" s="1"/>
  <c r="I130" i="4" s="1"/>
  <c r="AJ19" i="22" l="1"/>
  <c r="AJ17" i="22"/>
  <c r="AJ15" i="22"/>
  <c r="AJ11" i="22"/>
  <c r="AJ9" i="22"/>
  <c r="AJ7" i="22"/>
  <c r="AJ20" i="22"/>
  <c r="AJ18" i="22"/>
  <c r="AJ13" i="22"/>
  <c r="AJ3" i="22"/>
  <c r="AJ16" i="22"/>
  <c r="AJ14" i="22"/>
  <c r="AJ8" i="22"/>
  <c r="AJ6" i="22"/>
  <c r="AJ4" i="22"/>
  <c r="C164" i="17"/>
  <c r="C165" i="17" s="1"/>
  <c r="C164" i="4"/>
  <c r="C165" i="4" s="1"/>
  <c r="AJ19" i="19"/>
  <c r="AJ4" i="19"/>
  <c r="AJ9" i="19"/>
  <c r="AJ15" i="19"/>
  <c r="C164" i="16"/>
  <c r="C165" i="16" s="1"/>
  <c r="AJ17" i="19"/>
  <c r="AJ11" i="19"/>
  <c r="AJ20" i="19"/>
  <c r="C164" i="15"/>
  <c r="C165" i="15" s="1"/>
  <c r="AJ6" i="19"/>
  <c r="AJ18" i="19"/>
  <c r="AJ7" i="19"/>
  <c r="AJ13" i="19"/>
  <c r="AJ3" i="19"/>
  <c r="AJ16" i="19"/>
  <c r="AJ8" i="19"/>
  <c r="AJ14" i="19"/>
  <c r="C164" i="13"/>
  <c r="C165" i="13" s="1"/>
  <c r="D152" i="4"/>
  <c r="B162" i="4"/>
  <c r="I147" i="4"/>
  <c r="AO18" i="22" l="1"/>
  <c r="AS18" i="22" s="1"/>
  <c r="AN18" i="22"/>
  <c r="AO4" i="22"/>
  <c r="AS4" i="22" s="1"/>
  <c r="AN4" i="22"/>
  <c r="AO16" i="22"/>
  <c r="AS16" i="22" s="1"/>
  <c r="AN16" i="22"/>
  <c r="AO20" i="22"/>
  <c r="AS20" i="22" s="1"/>
  <c r="AN20" i="22"/>
  <c r="AO15" i="22"/>
  <c r="AS15" i="22" s="1"/>
  <c r="AN15" i="22"/>
  <c r="AO6" i="22"/>
  <c r="AS6" i="22" s="1"/>
  <c r="AN6" i="22"/>
  <c r="AO3" i="22"/>
  <c r="AJ21" i="22"/>
  <c r="AN3" i="22"/>
  <c r="AO7" i="22"/>
  <c r="AS7" i="22" s="1"/>
  <c r="AN7" i="22"/>
  <c r="AO17" i="22"/>
  <c r="AS17" i="22" s="1"/>
  <c r="AN17" i="22"/>
  <c r="AO14" i="22"/>
  <c r="AS14" i="22" s="1"/>
  <c r="AN14" i="22"/>
  <c r="AO11" i="22"/>
  <c r="AS11" i="22" s="1"/>
  <c r="AN11" i="22"/>
  <c r="AO8" i="22"/>
  <c r="AS8" i="22" s="1"/>
  <c r="AN8" i="22"/>
  <c r="AO13" i="22"/>
  <c r="AS13" i="22" s="1"/>
  <c r="AN13" i="22"/>
  <c r="AO9" i="22"/>
  <c r="AS9" i="22" s="1"/>
  <c r="AN9" i="22"/>
  <c r="AO19" i="22"/>
  <c r="AS19" i="22" s="1"/>
  <c r="AN19" i="22"/>
  <c r="AO16" i="19"/>
  <c r="AS16" i="19" s="1"/>
  <c r="AN16" i="19"/>
  <c r="AO11" i="19"/>
  <c r="AS11" i="19" s="1"/>
  <c r="AN11" i="19"/>
  <c r="AO6" i="19"/>
  <c r="AS6" i="19" s="1"/>
  <c r="AN6" i="19"/>
  <c r="AO13" i="19"/>
  <c r="AS13" i="19" s="1"/>
  <c r="AN13" i="19"/>
  <c r="AO19" i="19"/>
  <c r="AS19" i="19" s="1"/>
  <c r="AN19" i="19"/>
  <c r="AO18" i="19"/>
  <c r="AS18" i="19" s="1"/>
  <c r="AN18" i="19"/>
  <c r="AO9" i="19"/>
  <c r="AS9" i="19" s="1"/>
  <c r="AN9" i="19"/>
  <c r="AO3" i="19"/>
  <c r="AJ21" i="19"/>
  <c r="AN3" i="19"/>
  <c r="AO17" i="19"/>
  <c r="AS17" i="19" s="1"/>
  <c r="AN17" i="19"/>
  <c r="AO4" i="19"/>
  <c r="AS4" i="19" s="1"/>
  <c r="AN4" i="19"/>
  <c r="AO14" i="19"/>
  <c r="AS14" i="19" s="1"/>
  <c r="AN14" i="19"/>
  <c r="AO8" i="19"/>
  <c r="AS8" i="19" s="1"/>
  <c r="AN8" i="19"/>
  <c r="AO7" i="19"/>
  <c r="AS7" i="19" s="1"/>
  <c r="AN7" i="19"/>
  <c r="AO20" i="19"/>
  <c r="AS20" i="19" s="1"/>
  <c r="AN20" i="19"/>
  <c r="AO15" i="19"/>
  <c r="AS15" i="19" s="1"/>
  <c r="AN15" i="19"/>
  <c r="G26" i="19" l="1"/>
  <c r="F4" i="9" s="1"/>
  <c r="G28" i="19"/>
  <c r="F6" i="9" s="1"/>
  <c r="G6" i="9" s="1"/>
  <c r="G27" i="19"/>
  <c r="F5" i="9" s="1"/>
  <c r="G5" i="9" s="1"/>
  <c r="G4" i="9"/>
  <c r="AN21" i="22"/>
  <c r="AO21" i="22"/>
  <c r="AS3" i="22"/>
  <c r="AS21" i="22" s="1"/>
  <c r="AO21" i="19"/>
  <c r="AS3" i="19"/>
  <c r="G25" i="19" s="1"/>
  <c r="F3" i="9" s="1"/>
  <c r="AN21" i="19"/>
  <c r="AS21" i="19" l="1"/>
  <c r="G3" i="9"/>
  <c r="G7" i="9" s="1"/>
  <c r="G8" i="9" s="1"/>
</calcChain>
</file>

<file path=xl/sharedStrings.xml><?xml version="1.0" encoding="utf-8"?>
<sst xmlns="http://schemas.openxmlformats.org/spreadsheetml/2006/main" count="2749" uniqueCount="523">
  <si>
    <t>RESUMO CONTRATO 24 MESES</t>
  </si>
  <si>
    <t>Grupo</t>
  </si>
  <si>
    <t>Item</t>
  </si>
  <si>
    <t>Descrição</t>
  </si>
  <si>
    <t>Unidade de medida</t>
  </si>
  <si>
    <t>quantidade</t>
  </si>
  <si>
    <t>Valor unitário</t>
  </si>
  <si>
    <t>Valor total</t>
  </si>
  <si>
    <t>Áreas internas</t>
  </si>
  <si>
    <t>m2</t>
  </si>
  <si>
    <t>Áreas externas</t>
  </si>
  <si>
    <t>m3</t>
  </si>
  <si>
    <t>Esquadrias</t>
  </si>
  <si>
    <t>m4</t>
  </si>
  <si>
    <t>Áreas hospitalares e assemelhadas</t>
  </si>
  <si>
    <t>m5</t>
  </si>
  <si>
    <t>total</t>
  </si>
  <si>
    <t>Valor mensal</t>
  </si>
  <si>
    <t>Categoria profissional: servente</t>
  </si>
  <si>
    <t>Discriminação dos Serviços</t>
  </si>
  <si>
    <t>A</t>
  </si>
  <si>
    <t>Data de apresentação da proposta</t>
  </si>
  <si>
    <t>-</t>
  </si>
  <si>
    <t>B</t>
  </si>
  <si>
    <t>Município</t>
  </si>
  <si>
    <t>Currais Novos</t>
  </si>
  <si>
    <t>C</t>
  </si>
  <si>
    <t>Ano do Acordo, Convenção ou Dissídio Coletivo</t>
  </si>
  <si>
    <t>RN000035/2023</t>
  </si>
  <si>
    <t>D</t>
  </si>
  <si>
    <t>Nº de meses de execução contratual</t>
  </si>
  <si>
    <t>Identificação do Serviço</t>
  </si>
  <si>
    <t>Tipo de Serviço</t>
  </si>
  <si>
    <t>Unidade de Medida</t>
  </si>
  <si>
    <t>Quantidade total a contratar (em função da unidade de medida)</t>
  </si>
  <si>
    <t>Recepção</t>
  </si>
  <si>
    <t>Posto</t>
  </si>
  <si>
    <t>Dados para composição dos custos referentes à mão-de-obra</t>
  </si>
  <si>
    <t>Tipo de serviço (mesmo serviço com características distintas)</t>
  </si>
  <si>
    <t>limpeza</t>
  </si>
  <si>
    <t>Classificação Brasileira de Ocupações (CBO)</t>
  </si>
  <si>
    <t>5143-20</t>
  </si>
  <si>
    <t>Salário Normativo da Categoria Profissional</t>
  </si>
  <si>
    <t>Categoria profissional (vinculada à execução contratual)</t>
  </si>
  <si>
    <t>Servente de limpeza</t>
  </si>
  <si>
    <t>Data base da categoria (dia/mês/ano)</t>
  </si>
  <si>
    <t>MÓDULO 1 - COMPOSIÇÃO DA REMUNERAÇÃO</t>
  </si>
  <si>
    <t>COMPOSIÇÃO DA REMUNERAÇÃO</t>
  </si>
  <si>
    <t>%</t>
  </si>
  <si>
    <t>VALOR (R$)</t>
  </si>
  <si>
    <t>Salário Base</t>
  </si>
  <si>
    <t xml:space="preserve">Adicional Periculosidade </t>
  </si>
  <si>
    <t>Adicional Insalubridade</t>
  </si>
  <si>
    <t>Adicional Noturno</t>
  </si>
  <si>
    <t>E</t>
  </si>
  <si>
    <t>Adicional de Hora Noturna Reduzida</t>
  </si>
  <si>
    <t>F</t>
  </si>
  <si>
    <t>Outros (especificar)</t>
  </si>
  <si>
    <t>TOTAL DO MÓDULO 1</t>
  </si>
  <si>
    <t>MÓDULO 2 – ENCARGOS E BENEFÍCIOS ANUAIS, MENSAIS E DIÁRIOS</t>
  </si>
  <si>
    <t>Submódulo 2.1 - 13º Salário, Férias e Adicional de Férias</t>
  </si>
  <si>
    <r>
      <rPr>
        <sz val="10"/>
        <rFont val="Arial"/>
        <family val="2"/>
      </rPr>
      <t>13 (Décimo-terceiro) salário</t>
    </r>
    <r>
      <rPr>
        <sz val="10"/>
        <color indexed="10"/>
        <rFont val="Arial"/>
        <family val="2"/>
      </rPr>
      <t xml:space="preserve"> </t>
    </r>
  </si>
  <si>
    <t>Adicional de Férias</t>
  </si>
  <si>
    <t>TOTAL SUBMÓDULO 2.1</t>
  </si>
  <si>
    <t>BASE 2.2</t>
  </si>
  <si>
    <t>Submódulo 2.2 - GPS, FGTS e Outras Contribuições</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</si>
  <si>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</si>
  <si>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</si>
  <si>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</si>
  <si>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</si>
  <si>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</si>
  <si>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</si>
  <si>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</si>
  <si>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</si>
  <si>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</si>
  <si>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</si>
  <si>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</si>
  <si>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</si>
  <si>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 xml:space="preserve">Transporte </t>
  </si>
  <si>
    <t xml:space="preserve">Auxílio-Refeição/Alimentação </t>
  </si>
  <si>
    <t>benefício social familiar</t>
  </si>
  <si>
    <t>Auxílio Saúde</t>
  </si>
  <si>
    <t>Seguro de vida</t>
  </si>
  <si>
    <t>Outros</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</si>
  <si>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</si>
  <si>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</si>
  <si>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</si>
  <si>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</si>
  <si>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</si>
  <si>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</si>
  <si>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</si>
  <si>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</si>
  <si>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</si>
  <si>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</si>
  <si>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</si>
  <si>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</si>
  <si>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</si>
  <si>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</si>
  <si>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Multa do FGTS e Contribuição Social sobre o Aviso Prévio Indenizado</t>
  </si>
  <si>
    <t xml:space="preserve">Aviso Prévio Trabalhado </t>
  </si>
  <si>
    <t>Incidência de GPS, FGTS e outras contribuições sobre Aviso Prévio Trabalhado</t>
  </si>
  <si>
    <t xml:space="preserve">Multa do FGTS e Contribuição Social sobre o Aviso Prévio Trabalhado. </t>
  </si>
  <si>
    <t>TOTAL DO MÓDULO 3</t>
  </si>
  <si>
    <t>MÓDULO 4 – CUSTO DE REPOSIÇÃO DO PROFISSIONAL AUSENTE</t>
  </si>
  <si>
    <t>BASE 4</t>
  </si>
  <si>
    <t>Submódulo 4.1 - Substituto nas Ausências Legais</t>
  </si>
  <si>
    <t xml:space="preserve">Substituto na cobertura de Férias </t>
  </si>
  <si>
    <t>Substituto na cobertura de Ausências Legais</t>
  </si>
  <si>
    <t>Substituto na cobertura de Licença Paternidade</t>
  </si>
  <si>
    <r>
      <rPr>
        <sz val="10"/>
        <rFont val="Arial"/>
        <family val="2"/>
      </rPr>
      <t>Substituto na cobertura de Ausência por Acidente de Trabalho</t>
    </r>
    <r>
      <rPr>
        <sz val="10"/>
        <color indexed="10"/>
        <rFont val="Arial"/>
        <family val="2"/>
      </rPr>
      <t xml:space="preserve"> </t>
    </r>
  </si>
  <si>
    <t>Substituto na cobertura de Afastamento Maternidade</t>
  </si>
  <si>
    <t>Substituto na cobertura de Outras Ausências (Ausência por doença)</t>
  </si>
  <si>
    <t>TOTAL SUBMÓDULO 4.1</t>
  </si>
  <si>
    <t>Submódulo 4.2 - Substituto na Intrajornada</t>
  </si>
  <si>
    <t>Intervalo para Repouso ou Alimentação</t>
  </si>
  <si>
    <t>TOTAL SUBMÓDULO 4.2</t>
  </si>
  <si>
    <t>QUADRO-RESUMO DO MÓDULO 4 - CUSTO DE REPOSIÇÃO DO PROFISSIONAL AUSENTE</t>
  </si>
  <si>
    <t>Módulo 4 - Custo de Reposição do Profissional Ausente</t>
  </si>
  <si>
    <t>4.1</t>
  </si>
  <si>
    <t>Substituto nas Ausências Legais</t>
  </si>
  <si>
    <t>4.2</t>
  </si>
  <si>
    <t>Substituto na Intrajornada</t>
  </si>
  <si>
    <t>TOTAL DO MÓDULO 4</t>
  </si>
  <si>
    <t>MÓDULO 5 – INSUMOS DIVERSOS</t>
  </si>
  <si>
    <t>INSUMOS DIVERSOS</t>
  </si>
  <si>
    <t xml:space="preserve">Uniformes </t>
  </si>
  <si>
    <t>Materiais e EPIS</t>
  </si>
  <si>
    <t>Equipamentos</t>
  </si>
  <si>
    <t>Outros (especificar</t>
  </si>
  <si>
    <t>TOTAL DO MÓDULO 5</t>
  </si>
  <si>
    <t>MÓDULO 6 – CUSTOS INDIRETOS, TRIBUTOS E LUCRO</t>
  </si>
  <si>
    <t>CUSTOS INDIRETOS, TRIBUTOS E LUCRO</t>
  </si>
  <si>
    <t>Custos Indiretos</t>
  </si>
  <si>
    <t>Lucro</t>
  </si>
  <si>
    <t>TRIBUTOS</t>
  </si>
  <si>
    <t>C.1</t>
  </si>
  <si>
    <t>PIS</t>
  </si>
  <si>
    <t>C.2</t>
  </si>
  <si>
    <t>COFINS</t>
  </si>
  <si>
    <t>C.3</t>
  </si>
  <si>
    <t>ISS</t>
  </si>
  <si>
    <t>TOTAL DO MÓDULO 6</t>
  </si>
  <si>
    <t>a)</t>
  </si>
  <si>
    <t>Tributos % = To = .............................................................</t>
  </si>
  <si>
    <t>b)</t>
  </si>
  <si>
    <t>(Total dos Módulos 1, 2, 3, 4 e 5+ Custos indiretos + lucro)= Po = ...................................</t>
  </si>
  <si>
    <t>c)</t>
  </si>
  <si>
    <t>Po / (1 - To) = P1 = ..............................................................................</t>
  </si>
  <si>
    <t>Valor dos Tributos = P1 - Po</t>
  </si>
  <si>
    <t>QUADRO RESUMO DO CUSTO POR EMPREGADO</t>
  </si>
  <si>
    <t>Mão-de-Obra vinculada à execução contratual (valor por empregado)</t>
  </si>
  <si>
    <t>Subtotal (A + B + C + D + E)</t>
  </si>
  <si>
    <t>PREÇO TOTAL POR EMPREGADO</t>
  </si>
  <si>
    <t>Quantidade de empregados</t>
  </si>
  <si>
    <t>Quadro Resumo - VALOR MENSAL DOS SERVIÇOS</t>
  </si>
  <si>
    <t>Tipo de Serviço (A)</t>
  </si>
  <si>
    <t>Valor Por Empregado(B)</t>
  </si>
  <si>
    <t>Qde de Empregados por posto ( C )</t>
  </si>
  <si>
    <t>Valor Proposto por Posto (D) = (B x C)</t>
  </si>
  <si>
    <t>Qde Postos (E)</t>
  </si>
  <si>
    <t>Serviço 1 (indicar)</t>
  </si>
  <si>
    <t>R$</t>
  </si>
  <si>
    <t>Serviço 2 (indicar)</t>
  </si>
  <si>
    <t>Serviço 3 (indicar)</t>
  </si>
  <si>
    <t>Serviço ... (indicar)</t>
  </si>
  <si>
    <t>VALOR MENSAL DOS SERVIÇOS (I + II + III + ...)</t>
  </si>
  <si>
    <t>Anexo III-D</t>
  </si>
  <si>
    <t>Quadro Demonstrativo - VALOR GLOBAL DA PROPOSTA</t>
  </si>
  <si>
    <t>VALOR GLOBAL DA PROPOSTA</t>
  </si>
  <si>
    <t>Valor proposto por unidade de medida*</t>
  </si>
  <si>
    <t>Valor mensal do serviço</t>
  </si>
  <si>
    <t>Valor Global da Proposta (valor mensal do serviço X nº meses do contrato).</t>
  </si>
  <si>
    <t>TOTAL</t>
  </si>
  <si>
    <t>Nota(1):</t>
  </si>
  <si>
    <t>Informar o valor da unidade de medida por tipo de serviço.</t>
  </si>
  <si>
    <t>Valor total do Posto</t>
  </si>
  <si>
    <t>Obs 1: De acordo com o entendimento do TCU no Acórdão nº 1.186/2017 - Plenário, a Administração "deve estabelecer na minuta do contrato que a parcela mensal a título de aviso prévio trabalhado será no percentual máximo de 1,94% no primeiro ano, e, em caso de prorrogação do contrato, o percentual máximo dessa parcela será de 0,194% a cada ano de prorrogação, a ser incluído por ocasião da formulação do aditivo da prorrogação do contrato, conforme a Lei 12.506/2011"</t>
  </si>
  <si>
    <t>Obs 2: Nas eventuais prorrogações do contrato, os custos não renováveis já pagos ou amortizados no primeiro ano da contratação deverão ser eliminados como condição para a renovação.</t>
  </si>
  <si>
    <t>Obs 3:os licitantes, quando tributados pelo regime de incidência não-cumulativa de PIS e COFINS, dever cotar na planilha de custos e formação de preços as alíquotas médias efetivamente recolhidas dessas contribuições.</t>
  </si>
  <si>
    <t>FATOR K</t>
  </si>
  <si>
    <t>PREÇO MENSAL</t>
  </si>
  <si>
    <t>PREÇO GLOBAL</t>
  </si>
  <si>
    <t>Categoria profissional: Recepcionista</t>
  </si>
  <si>
    <t>Materiais</t>
  </si>
  <si>
    <t>Outros (especificar)EPIs</t>
  </si>
  <si>
    <t>PREÇO TOTAL POR EMPREGADO SEM DIÁRIAS</t>
  </si>
  <si>
    <t>Campus Currais Novos</t>
  </si>
  <si>
    <t>Atenção:</t>
  </si>
  <si>
    <t>Esta aba possui fórmulas</t>
  </si>
  <si>
    <t>Está configurada para impressão em tamanho A4, na orientação PAISAGEM.</t>
  </si>
  <si>
    <t>Legenda</t>
  </si>
  <si>
    <t>Edição obrigatória</t>
  </si>
  <si>
    <t>Custo mensal por posto (R$)</t>
  </si>
  <si>
    <t>Edição opcional</t>
  </si>
  <si>
    <t>Uniformes (kit básico)</t>
  </si>
  <si>
    <t>Tipo de posto</t>
  </si>
  <si>
    <t>Qtde</t>
  </si>
  <si>
    <t>Materiais e EPIs/EPCs (sob demanda)</t>
  </si>
  <si>
    <t>Equipamentos (sob demanda)</t>
  </si>
  <si>
    <t>Servente de limpeza com insalubridade</t>
  </si>
  <si>
    <t>Encarregado</t>
  </si>
  <si>
    <t>Total</t>
  </si>
  <si>
    <t>Supervisor</t>
  </si>
  <si>
    <t>Qtde. anual por tipo de posto</t>
  </si>
  <si>
    <t>Custo anual por tipo de posto (R$)</t>
  </si>
  <si>
    <t>Tipo</t>
  </si>
  <si>
    <t>Descrição detalhada</t>
  </si>
  <si>
    <t>Marca(s)</t>
  </si>
  <si>
    <t>Unid. de fornecimento</t>
  </si>
  <si>
    <t>Valor unit. (R$)</t>
  </si>
  <si>
    <t>Serv. limpeza</t>
  </si>
  <si>
    <t>Serv. limpeza insalub.</t>
  </si>
  <si>
    <t>Grupo de insumos</t>
  </si>
  <si>
    <t>Planilha de custos anuais com insumos</t>
  </si>
  <si>
    <t>Uniformes</t>
  </si>
  <si>
    <t>CALÇA TACTEL COR A DEFINIR. Calça, com 2 bolsos, cor a definir, composição: 100% poliéster, gramatura: 104 g/m². Tamanhos P, M, G e GG.</t>
  </si>
  <si>
    <t>UND</t>
  </si>
  <si>
    <t>CALÇA JEANS. Calça tecido jeans, na cor azul, zíper coats metal, botão fixo, cós, presilha para cinto, 4 bolsos, costura tipo pesponto. TAMANHO: 38 à 54.</t>
  </si>
  <si>
    <t>CAMISETA MANGA CURTA, COR A DEFINIR. Camiseta, tipo tecido malha algodão, tipo manga curta, tipo gola redonda, cor a definir, tipo costura simples, características adicionais contendo a logomarca da empresa. Tamanhos P, M ,G e GG.</t>
  </si>
  <si>
    <t>CRACHÁ EM PVC, tamanho 8,5 x 5,4mm, contendo pelo memos foto, nome, tipo sanguíneo, função do empregado e a identificação da empresa. Itens inclusos: cordão em poliéster e prendedor tipo jacaré.</t>
  </si>
  <si>
    <t>MEIA em algodão, poliamida e elastano; cano médio (altura de 6 a 10 cm); lisa; calça do tamanho 36 ao 44, punho elástico, cor branca.</t>
  </si>
  <si>
    <t>PAR</t>
  </si>
  <si>
    <t xml:space="preserve">Ácido muriático 1 L - ÁCIDO CLORÍDRICO\, ASPECTO FÍSICO:LÍQUIDO LÍMPIDO\, INCOLOR À LEVEMENTE AMARELADO, TEOR MÍNIMO DE 30%, MICA CAS 7647-01-0
</t>
  </si>
  <si>
    <t>Rodoquímica</t>
  </si>
  <si>
    <t>LT</t>
  </si>
  <si>
    <t>Álcool Etílico Hidratado 70% frasco com 1000 ML - APRESENTAÇÃO LÍQUIDO</t>
  </si>
  <si>
    <t>Tramontina</t>
  </si>
  <si>
    <t>ÁLCOOL ETÍLICO LIMPEZA DE AMBIENTES, TIPO GEL HIDRATADO, APLICAÇÃO LIMPEZA, CONCENTRAÇÃO 75% INPM. GALÃO DE 5,00 L</t>
  </si>
  <si>
    <t xml:space="preserve">Ciclofarma </t>
  </si>
  <si>
    <t>Balde plástico com tampa de 30L, dimensões aproximadas de 38,4x37,6cm, com alça de ferro com batoque, Tampa hermética.</t>
  </si>
  <si>
    <t xml:space="preserve">GELÁLCOOL START </t>
  </si>
  <si>
    <t>BOMBONA</t>
  </si>
  <si>
    <t>Balde plástico de 20 litros, dimensões aproximadas de 35x34cm, com alça de ferro com batoque.</t>
  </si>
  <si>
    <t>BOBINA 2KG DE FIO NYLON 3,0MM PARA ROÇADEIRA</t>
  </si>
  <si>
    <t>Câmara de ar 3,50 x 8". Aplicação: roda de carrinho de mão e de carro plataforma.</t>
  </si>
  <si>
    <t>Glade</t>
  </si>
  <si>
    <t>Cera automotiva, lata com 200g</t>
  </si>
  <si>
    <t>Cera líquida incolor, para pisos, bombona de 5l</t>
  </si>
  <si>
    <t>JAGUAR</t>
  </si>
  <si>
    <t>Cesto p/ Lixo plástico com tampa vai e vem basculante na cor verde de 100 litros.</t>
  </si>
  <si>
    <t>Cesto p/ Lixo Telado de Plastico 10 Lts</t>
  </si>
  <si>
    <t>Vulcan</t>
  </si>
  <si>
    <t>Desentupidor de pia tipo sanfona, com cabo anatômico, aplicação: desentupir oríficios de pequeno e médio porte.</t>
  </si>
  <si>
    <t>Wonker</t>
  </si>
  <si>
    <t>Desentupidor de vaso sanitário, com cabo longo</t>
  </si>
  <si>
    <t>Vonder</t>
  </si>
  <si>
    <t>DESINFETANTE À BASE DE QUATERNÁRIO DE AMÔNIO DE 5ª GERAÇÃO E BIGUANIDA POLIMÉRICA. Desenvolvido para o uso em hospitais, incluindo áreas críticas, tais como, centros cirúrgicos, centro obstétrico, UTI, UTI Neonatal, unidade de diálise, setor de hemodinâmica, unidade de transplante, unidade de queimados, unidade de isolamento, área suja da lavanderia, etc., em áreas semicríticas, tais como, enfermaria, apartamentos, ambulatórios, banheiros, central de triagem, etc. Embalagem 1 litro</t>
  </si>
  <si>
    <t>DUTRA MÁQUINAS</t>
  </si>
  <si>
    <t>Detergente alcalino clorado em gel de 5lts para piso de alta concentração - Produto neutro e desengordurante.  Diluição 1:100. De alto poder sanitizante e desengordurante.</t>
  </si>
  <si>
    <t>Detergente liquido neutro lava louça 500ml</t>
  </si>
  <si>
    <t>Multilaser</t>
  </si>
  <si>
    <t>LATA</t>
  </si>
  <si>
    <t>Dispenser Multiplo Higiênico para papel Toalha inferfolhada. Composto plástico transparente especial com alta resistência ao impacto. Capacidade para 800 folhas</t>
  </si>
  <si>
    <t>CORDEX</t>
  </si>
  <si>
    <t>Escova de mão multiuso, com alça anatômica, dimensões 14,5 x 6 x 8,2 cm.</t>
  </si>
  <si>
    <t>Start</t>
  </si>
  <si>
    <t xml:space="preserve">Escova Sanitária com Suporte </t>
  </si>
  <si>
    <t>Jsn</t>
  </si>
  <si>
    <t>Espanador plástico multiuso 280 x 40 mm</t>
  </si>
  <si>
    <t>Espátula de Aço 40mm com Cabo de Madeira Ref. 390. Lâmina de aço temperado. Banhada em verniz protetivo contra oxidação. Cabo de madeira com formato anatômico. Haste fixada no cabo por encaixe.</t>
  </si>
  <si>
    <t>Arteplas</t>
  </si>
  <si>
    <t>Esponja dupla face ação antibacteriano que não risca pacote com 1 unidades.</t>
  </si>
  <si>
    <t>Flanela tamanho médio 40cmx50cm</t>
  </si>
  <si>
    <t>CARRETEL</t>
  </si>
  <si>
    <t>Hipoclorito de sódio, bombona com 5 litros, concentrado, 4 a 6% de cloro ativo.</t>
  </si>
  <si>
    <t>Jimo</t>
  </si>
  <si>
    <t>Inseticida aerosol, 400ml.</t>
  </si>
  <si>
    <t>Pikapau</t>
  </si>
  <si>
    <t>Iscanill formicida para formiga isca granulada de ingestão</t>
  </si>
  <si>
    <t>Dsr</t>
  </si>
  <si>
    <t>Lâmina para a Roçadeira DE 3 PONTAS 255 MM X 20 MM X 2,9 MM</t>
  </si>
  <si>
    <t>Caiçara/</t>
  </si>
  <si>
    <t>Lima de amolar enxada, dimensão aproximada 8", com cabo</t>
  </si>
  <si>
    <t>Lixeira com tampa de Pedal 20 L Branca</t>
  </si>
  <si>
    <t>Overtime</t>
  </si>
  <si>
    <t>Lustra móvel - frasco com 500ml</t>
  </si>
  <si>
    <t>Odorizador de ambiente em aerossol, 360ml</t>
  </si>
  <si>
    <t>RENKO, BECKER OU BAKVEL</t>
  </si>
  <si>
    <t>Pá coletora de lixo com tampa, cabo 80 cm</t>
  </si>
  <si>
    <t xml:space="preserve">Pá quadrada com cabo de madeira de 74 cm e com terminação "Y" metálica  - com cabo </t>
  </si>
  <si>
    <t>PANO DE CHÃO ALVEJADO TIPO A, MEDIDAS 50X70CM, material 100% algodão</t>
  </si>
  <si>
    <t>Pano de microfibra multiuso - Pct com 2 un</t>
  </si>
  <si>
    <t>Ypê, limpol ou similar</t>
  </si>
  <si>
    <t>Papel higiênico duplo de 1ª qualidade, branco, picotado, fardo com 64 rolos de 30 m.registrado junto ao Inmetro.</t>
  </si>
  <si>
    <t xml:space="preserve">Papel Higiênico em Rolo, folha simples - 300m, branco extra luxo, fabricado com 100% celulose virgem, alta qualidade, embalado em caixa de papelão com 8 rolos de 300m, com 2400 metros. Extrato de Algodão.  </t>
  </si>
  <si>
    <t>Papel toalha branco de 1ª qualidade, com alto poder de absorção, interfolhado, 23x21cm (aproximadamente), com duas dobras, fardo com 1000 folhas, separados em pacotes de 250 folhas.  100% celulose virgem.</t>
  </si>
  <si>
    <t>Valencia</t>
  </si>
  <si>
    <t>Pastilha sanitária adesiva (aromas variados) com 3 unidades</t>
  </si>
  <si>
    <t>Pneu 3,50 x 8". Aplicação: carrinho de mão e carro plataforma.</t>
  </si>
  <si>
    <t>Querosene, em embalagem com no mínimo 900ml</t>
  </si>
  <si>
    <t>Rodo metálico de 1 metro com cabo, profissional. Extra Grande Reforçado</t>
  </si>
  <si>
    <t xml:space="preserve">Noviça </t>
  </si>
  <si>
    <t>Rodo Plástico Push 40cm com Borracha Dupla e Cabo de 120cm</t>
  </si>
  <si>
    <t>Cleaner</t>
  </si>
  <si>
    <t>Sabão líquido para lavar roupas concentrado - 5 lt.</t>
  </si>
  <si>
    <t>CERTEC</t>
  </si>
  <si>
    <t>Sabonete líquido concentrado neutro, antisséptico, para as mãos, perfumado. Com uma formulação balanceada, permite uma lavagem fácil e rápida, deixando as mãos macias e suavemente perfumadas. Características Físico - Químicas: Líquido viscoso, verde, com suave aroma (aromas variados), pH 7, biodegradável, não inflamável, não tóxico e não irritante para as mãos e pele. Bombona de 5 litros</t>
  </si>
  <si>
    <t>KARCHER, VONDER, OU DE MARCAR SIMILAR/SUPERIOR</t>
  </si>
  <si>
    <t xml:space="preserve">Saboneteira Dispenser p/Álcool Gel ou Sabonete Líquido Possui reservatório com capacidade para 800 ml e com tampa que evita a evaporação do líquido Indicado igualmente para álcool e sabonete liquido.Fabricado em termoplástico de alta resistência Desenho Moderno e Harmonioso. Fácil instalação com parafusos e buchas.Possui fechadura de segurança com chave Dimensões:Altura:26.3cm Largura:13.8cm Profundidade:12.6cm </t>
  </si>
  <si>
    <t>Mix</t>
  </si>
  <si>
    <t xml:space="preserve">Saco plástico p/ lixo 100 litros - PACOTE COM 100 SACOS. Dimens.es 80 x 90 cm ou 75x105cm. Refor.ado - Espessura 0.10 micras. </t>
  </si>
  <si>
    <t xml:space="preserve">Saco plástico p/ lixo 20 litros - PACOTE COM 100 SACOS. Reforçado - Espessura 0.10 micras. </t>
  </si>
  <si>
    <t>Duster</t>
  </si>
  <si>
    <t>Saco plástico p/ lixo 200 litros - PACOTE COM 100 SACOS.  Reforçado - Classe 1 - Tipo E - Super Resistente</t>
  </si>
  <si>
    <t xml:space="preserve">Saco plástico p/ lixo 40 litros - PACOTE COM 100 SACOS. Reforçado - Espessura 0.10 micras. </t>
  </si>
  <si>
    <t>Max</t>
  </si>
  <si>
    <t xml:space="preserve">Saco plástico p/ lixo 60 litros - PACOTE COM 100 SACOS. Reforçado - Espessura 0.10 micras. </t>
  </si>
  <si>
    <t>BUNZL</t>
  </si>
  <si>
    <t>Solução LIMPADOR MULTIUSO p/ limpeza de vidro e limpador geral para pronto uso, capaz de remover gorduras e sugeiras em superfícies rígidas (bombona com 5 litros) marca de ref. Mix limp</t>
  </si>
  <si>
    <t>Castor</t>
  </si>
  <si>
    <t>TELA MICTÓRIO, Desodorizador de borracha p/ mictório (FRAGÂNCIA VARIADA)</t>
  </si>
  <si>
    <t>Assolan</t>
  </si>
  <si>
    <t>Touca descartável em polipropileno, branca, c/ elástico, pacote com 100 und.</t>
  </si>
  <si>
    <t xml:space="preserve">Bettanin, Esfrebom, Scotch-Brite  </t>
  </si>
  <si>
    <t>PACOTE</t>
  </si>
  <si>
    <t>Vassoura Ancinho Plástica com Cabo (ciscador plástico)</t>
  </si>
  <si>
    <t>ESSENCIA VIRTUAL</t>
  </si>
  <si>
    <t>Vassoura de piaçava padrão 4 com cabo e capa plástica</t>
  </si>
  <si>
    <t>Grand Prix</t>
  </si>
  <si>
    <t>Vassoura Gari Piaçava 60cm com Cabo de 150cm</t>
  </si>
  <si>
    <t>Vassoura Limpa Teto com Cabo de Madeira 2m</t>
  </si>
  <si>
    <t>Secar</t>
  </si>
  <si>
    <t xml:space="preserve">Vassoura Nylon 30cm Cabo de Madeira Plastificado com altura de  1,20m </t>
  </si>
  <si>
    <t>MEGATRON</t>
  </si>
  <si>
    <t>Fita de sinalização de segurança zebrada. Fita de sinalização zebrada usada para demarcação de áreas de trabalho, cor amarelo e preto, rolo 200 metros.</t>
  </si>
  <si>
    <t>Luva de borracha nitrílica forrada para agentes químicos. Luva de segurança, confeccionada em látex nitrílico, forrada internamente com flocos de algodão, impermeável, acabamento antiderrapante na face palmar e pontas dos dedos, formato anatômico, 35cm. Indicado para proteção das mãos do usuário contra agentes abrasivos, escoriantes, cortantes e perfurantes e contra agentes químicos. Certificado de Aprovação do Ministério do Trabalho e Emprego.</t>
  </si>
  <si>
    <t>Manga em tecido para proteção do braço e antebraço. Manga em tecido para proteção do braço contra os efeitos da radiação solar, confeccionada em poliamida e elastano. Proteção UV, com fator de proteção FP50+, adequada para exposição a radiação solar. Modelo manga longa, maleável, leve, resistente e flexível. Secagem rápida de transpiração.</t>
  </si>
  <si>
    <t>Avental em PVC com forro impermeável. Avental em PVC com forro de poliéster com tiras soldadas eletronicamente sendo uma no pescoço e duas na cintura com fivela plástica para fechamento; modelo açougueiro; dupla face; medidas mínimas: 120cm (altura) x 70cm (largura); impermeável a líquidos não corrosivos; com tiras de ajuste do mesmo material; cor: branco. Indicado para proteção do usuário contra respingos de água e produtos químicos em baixas concentrações. Certificado de Aprovação do Ministério do Trabalho e Emprego.</t>
  </si>
  <si>
    <t>Bota em PVC cano médio antiderrapante. Calçado de segurança, tipo bota, confeccionada em policloreto de vinila (PVC), com forro, impermeável, cano médio, sem biqueira, solado antiderrapante, resistente a flexão, tração e abrasão, reforço para proteção dos tornozelos e calcanhar, com resistência química, resistência a óleo combustível. Indicada para proteção dos pés do usuário contra riscos de natureza leve, contra agentes abrasivos e escoriantes, contra umidade proveniente de operações com uso de água e contra riscos de origem química. Certificado de Aprovação do Ministério do Trabalho e Emprego.</t>
  </si>
  <si>
    <t>Botina de segurança com biqueira de aço. Calçado de segurança, tipo botina, fechamento em elástico, confeccionado em confeccionado em couro curtido ao cromo, palmilha de montagem em material sintético montada pelo sistema strobel, biqueira de aço, solado de poliuretano bidensidade antiderrapante injetado diretamente no cabedal, resistente ao óleo combustível. Indicado para proteção dos pés do usuário contra impactos de quedas de objetos sobre os artelhos e contra agentes abrasivos e escoriantes. Certificado de Aprovação do Ministério do Trabalho e Emprego.</t>
  </si>
  <si>
    <t>Renko Super</t>
  </si>
  <si>
    <t>Chapéu tipo australiano com protetor de nuca. Chapéu tipo australiano, confeccionada com poliamida com proteção FPU50+ com protetor na parte traseira para proteção do crânio, pescoço e ombro do usuário contra a radiação solar e agentes abrasivos e escoriantes. Com aba total. Alça de fixação para o queixo evita a queda do chapéu com vento forte. Cor a definir.</t>
  </si>
  <si>
    <t>Cone de sinalização em PVC com faixa refletiva 75cm. Cone de sinalização de segurança em PVC, 75 cm de altura, cor laranja, com faixa refletiva.</t>
  </si>
  <si>
    <t>Creme protetor solar FPS mínimo 30. Creme protetor solar com fator de proteção mínimo 30, resistente a água e suor, hipoalergênico. Bisnaga de 200ml. Oferece alta proteção a pele contra efeitos nocivos da radiação solar, mantendo o usuário protegido das queimaduras solares e câncer de pele. Com propriedades antioxidantes e ação hidratante.</t>
  </si>
  <si>
    <t>Luva de procedimentos confeccionada em látex. Luva de procedimentos confeccionada em látex natural; tamanho médio; caixa com 100 luvas; anatômica, ambidestra; lubrificada com pó bioabsorvível; atóxica; descartável e de uso único. Indicada para proteção das mãos do usuário nos procedimentos médicos e de enfermagem. Certificado de Aprovação do Ministério do Trabalho e Emprego.</t>
  </si>
  <si>
    <t>SPB</t>
  </si>
  <si>
    <t>Mascara tipo cirúrgica descartável em TNT. Máscara descartável tripla com clips nasal e elástico. Embalagem c/ 50 unidades. Confeccionado em TNT - Tecido Não Tecido 100% polipropileno Atóxica. Dispõe lateralmente dois elásticos do tipo roliço recobertos com algodão, que se destinam ao apoio e a ajustes à face e que se prendem atrás da orelha de usuários, A máscara é confeccionada no estilo retangular, tamanho único, inteiramente em TNT, com acabamento em toda a extremidade por soldagem eletrônica. Com certificação da ANVISA.</t>
  </si>
  <si>
    <t xml:space="preserve">Bayer </t>
  </si>
  <si>
    <t>FRASCO</t>
  </si>
  <si>
    <t>Óculos de proteção  em policarbonato de sobrepor. Óculos de segurança com lentes de policarbonato de alta transparência; sistema antirrisco; sistema antiembaçante hastes resistentes confeccionadas no mesmo material das lentes; permite sobreposição com óculos de grau; com apoio nasal e proteção lateral, indicado para proteção dos olhos do usuário contra impactos de partículas volantes multidirecionais. Certificado de Aprovação do Ministério do Trabalho e Emprego.</t>
  </si>
  <si>
    <t>Trapp</t>
  </si>
  <si>
    <t>Placa de sinalização de piso molhado. Placa de sinalização de segurança produzidas em polipropileno injetado de alta resistência, dobrável, na cor amarela, dimensões mínimas 69cm x 30cm, com informação para advertência de atenção sobre “CUIDADO – PISO MOLHADO” para uso em áreas internas ou externas.</t>
  </si>
  <si>
    <t>Citromax</t>
  </si>
  <si>
    <t>KG</t>
  </si>
  <si>
    <t>Protetor facial universal incolor. Protetor facial com visor fabricado em acrílico incolor; dimensões aproximadas: 19,5cm x 20cm; coroa fabricada em plástico; carneira fabricada em plástico, afixada ao visor através de parafusos e borboletas plásticas, com regulagem de altura e de diâmetro, com mecanismo que possibilite ao usuário deixá-lo na posição de descanso, virado para cima. Certificado de Aprovação do Ministério do Trabalho e Emprego.</t>
  </si>
  <si>
    <t>Respirador semifacial descartável com filtro PFF1(S). Respirador purificador de ar tipo peça semifacial filtrante PFF1 de formato dobrável e sem manutenção, Classe PFF1(S), indicado para proteção das vias respiratórias contra poeira e nevoas não oleosas. Fabricado com microfibras sintéticas combinadas em camadas e tratadas eletrostaticamente para reter apenas os materiais particulados presentes no ambiente, eficiência de filtração mínima de 80% contra a penetração de aerossóis particulados não oleosos, possuindo formato tipo concha com válvula de exalação, com duas tiras de elástico sobre presilhas plásticas onde é possível ajustar a pressão do respirador sobre o rosto e um clip metálico para selagem sobre o septo nasal. Certificado de Aprovação do Ministério do Trabalho e Emprego.</t>
  </si>
  <si>
    <t>Starrett</t>
  </si>
  <si>
    <t>Custo anual dos Materiais e EPIs/EPCs (sob demanda) (R$)</t>
  </si>
  <si>
    <t>Custo mensal dos Materiais e EPIs/EPCs (sob demanda) (R$)</t>
  </si>
  <si>
    <t>Custo mensal dos Materiais e EPIs/EPCs (sob demanda) por posto (R$)</t>
  </si>
  <si>
    <t>Aspirador de pó e líquidos, 20L 1400W. Potência: 1400W. Tensão: 220v. Capacidade do Recipiente: 20L. Motor: 1 estágio. Mangueira: 1,5m. Cabo elétrico: 5m. Itens inclusos: bocal de sopro, cabo elétrico de 5 metros, aspira sólidos e líquidos, utiliza 3 filtros (filtro de papel, filtro pano, filtro permanente), possui rodas, alças e bóia de água, porta-acessórios. Marca/modelo de referência: Wap/GT Profi ou similar ou superior.</t>
  </si>
  <si>
    <t>Wap</t>
  </si>
  <si>
    <t xml:space="preserve">Carrinho-de-mão extraforte com braço metálico e caçamba metálica em aço rasa redonda de 0,45 mm (chapa 26).  Capacidade para 50 litros e 100kg de carga, roda com pneu e câmara. </t>
  </si>
  <si>
    <t>Garthen</t>
  </si>
  <si>
    <t xml:space="preserve">Escada de Alumínio 7 Degraus com Fita de Segurança - Mor é fabricada segundo os critérios da ABNT. </t>
  </si>
  <si>
    <t>Lavadora de Alta Pressão PROFISSIONAL - 220 v, com no mínimo: 145 bar / 2100 libras  de pressão, vazão de água: 400 LH, nível de potência: 19000 w,motor de indução com cabeçote em alumínio. componentes: 01 Lavadora de Alta Pressão - HD 4/13
01 Pistola com Mangueira de Trama de Aço de 7,5 Metros
01 Lança com Porca Capa
01 Bico Jato Leque
01 Bico Aplicador de Detergente
01 Engate Rápido
01 Manual de Instruções</t>
  </si>
  <si>
    <t>WM</t>
  </si>
  <si>
    <t>ROÇADEIRA À GASOLINA SKIM 5500, 2,2 HP DE POTÊNCIA, 55 cc, LÂMINA 3 PONTAS, 13.000 RPM DE ROTAÇÃO</t>
  </si>
  <si>
    <t>Valor total dos Equipamentos (sob demanda) (R$)</t>
  </si>
  <si>
    <t>Depreciação Mensal dos Equipamentos (sob demanda) (R$)</t>
  </si>
  <si>
    <t>Manutenção mensal dos Equipamentos (sob demanda) (R$) 0,5%</t>
  </si>
  <si>
    <t>Total Manutenção + Depreciação Mensal  dos Equipamentos (sob demanda) por posto (R$)</t>
  </si>
  <si>
    <t>Custo mensal dos Equipamentos (sob demanda) por posto (R$)</t>
  </si>
  <si>
    <t>OBS: Os equipamentos devem ser cotados a depreciação mensal dos mesmos, considerando a vida útil de 8 anos e o valor residual de 20% para todos os equipamentos a serem utilizados na prestação dos serviços, bem como a aplicação do percentual de 0,5% ao mês a título de manutenção desses equipamentos. Esse percentual de manutenção tem como base de cálculo o valor total dos equipamentos.</t>
  </si>
  <si>
    <t>Área (m2)</t>
  </si>
  <si>
    <t>Produtividade IN 05/2017</t>
  </si>
  <si>
    <t>Quantidade apurada</t>
  </si>
  <si>
    <t>Quantidade de Serventes</t>
  </si>
  <si>
    <t>Área Interna</t>
  </si>
  <si>
    <t>Área Externa</t>
  </si>
  <si>
    <t>Memória de Cálculo de Uniforme</t>
  </si>
  <si>
    <t>Quant</t>
  </si>
  <si>
    <t>Preço Unitário</t>
  </si>
  <si>
    <t>Preço Total</t>
  </si>
  <si>
    <t>Fonte de Pesquisa</t>
  </si>
  <si>
    <t>Calça Feminina</t>
  </si>
  <si>
    <t>Pesquisa de preços</t>
  </si>
  <si>
    <t>Sapato Feminino</t>
  </si>
  <si>
    <t>Meia</t>
  </si>
  <si>
    <t>Cartão de identificação</t>
  </si>
  <si>
    <t>Camisa</t>
  </si>
  <si>
    <t>TOTAL (12 meses)</t>
  </si>
  <si>
    <t>Custo por profissional por mês</t>
  </si>
  <si>
    <t>Resumo Proposta repactuação anterior</t>
  </si>
  <si>
    <t xml:space="preserve">Preço por m2 </t>
  </si>
  <si>
    <t>Tipo de área</t>
  </si>
  <si>
    <t>Produtividade (I)
(1/m2)</t>
  </si>
  <si>
    <t>Número de Postos Sugeridos</t>
  </si>
  <si>
    <t>Preço do homem-mês (II)</t>
  </si>
  <si>
    <t>Subtotal (R$/m2)
(I) x (II)</t>
  </si>
  <si>
    <t>Conf Prod</t>
  </si>
  <si>
    <t>Servente</t>
  </si>
  <si>
    <t>Preço por m2 total - área Interna</t>
  </si>
  <si>
    <t>Preço por m2 total - área externa</t>
  </si>
  <si>
    <t>Esquadria</t>
  </si>
  <si>
    <t>Valor Mensal dos Serviços</t>
  </si>
  <si>
    <t>Preço por m2 mensal
(R$/m2)</t>
  </si>
  <si>
    <t>Total por tipo de área (R$)</t>
  </si>
  <si>
    <t>Total Mensal</t>
  </si>
  <si>
    <t>int</t>
  </si>
  <si>
    <t>Total p/12 (doze) Meses (R$)</t>
  </si>
  <si>
    <t>ext</t>
  </si>
  <si>
    <t>Total p/60 (sessenta) Meses (R$)</t>
  </si>
  <si>
    <t>exq</t>
  </si>
  <si>
    <t>Resumo Proposta repactuação</t>
  </si>
  <si>
    <t>Variação</t>
  </si>
  <si>
    <t>Valor Mensal dos Serviços - PEDIDO DA EMPRESA (não considerado o acórdão 1186/2017)</t>
  </si>
  <si>
    <t>Subtipos de área </t>
  </si>
  <si>
    <t>Área limpa pelo serv. insalub.</t>
  </si>
  <si>
    <t>Área definida (m2) </t>
  </si>
  <si>
    <t>Faixa de produtividade (m2) [4] </t>
  </si>
  <si>
    <t>Produtividade adotada (m2) [5] </t>
  </si>
  <si>
    <t>Produtividade</t>
  </si>
  <si>
    <t>Frequência no mês (horas)</t>
  </si>
  <si>
    <t>Jornada de trabalho no mês (horas)</t>
  </si>
  <si>
    <t>Qtde. de profissionais </t>
  </si>
  <si>
    <t>Valor unit. por m2 (R$)</t>
  </si>
  <si>
    <t>Valor total por posto (R$)</t>
  </si>
  <si>
    <t>Servente de limpeza [6]</t>
  </si>
  <si>
    <t>Serv. limp. c/ insalubr. [6]</t>
  </si>
  <si>
    <t>Encarregado [7]</t>
  </si>
  <si>
    <t>Supervisor [8]</t>
  </si>
  <si>
    <t>Servente de limpeza [9]</t>
  </si>
  <si>
    <t>Serv. limp. c/ insalubr. [9]</t>
  </si>
  <si>
    <t>Encarregado [10]</t>
  </si>
  <si>
    <t>Supervisor [11]</t>
  </si>
  <si>
    <t>Serv. limp. c/ insalubr.</t>
  </si>
  <si>
    <t>A1. Pisos acarpetados</t>
  </si>
  <si>
    <t>Não</t>
  </si>
  <si>
    <t>800 a 1200</t>
  </si>
  <si>
    <t>/</t>
  </si>
  <si>
    <t>/ (</t>
  </si>
  <si>
    <t>x</t>
  </si>
  <si>
    <t>)</t>
  </si>
  <si>
    <t>A2. Pisos frios</t>
  </si>
  <si>
    <t>A2.1 Pisos frios (p/complemento área ser c/insalib)</t>
  </si>
  <si>
    <t>Sim</t>
  </si>
  <si>
    <t>A3. Laboratórios</t>
  </si>
  <si>
    <t>360 a 450</t>
  </si>
  <si>
    <t>A4. almoxarifados/galpões</t>
  </si>
  <si>
    <t>1500 a 2500</t>
  </si>
  <si>
    <t>A5. Oficinas</t>
  </si>
  <si>
    <t>1200 a 1800</t>
  </si>
  <si>
    <t>A6. Áreas com espaços livres</t>
  </si>
  <si>
    <t>1000 a 1500</t>
  </si>
  <si>
    <t>A7. Banheiros (com 5 vaso ou mais)</t>
  </si>
  <si>
    <t>200 a 300</t>
  </si>
  <si>
    <t>A8. Banheiros (com menos d e5 vasos e acesso restrito)</t>
  </si>
  <si>
    <t>A9. Banheiros (com menos d e5 vaos de livre acesso)</t>
  </si>
  <si>
    <t>B1. Pisos pavimentados</t>
  </si>
  <si>
    <t>1800 a 2700</t>
  </si>
  <si>
    <t>B2. Varrição de passeios</t>
  </si>
  <si>
    <t>6000 a 9000</t>
  </si>
  <si>
    <t>B3. Áreas verdes</t>
  </si>
  <si>
    <t>C1. Esquadrias face externas com exposição a situação de risco [2]</t>
  </si>
  <si>
    <t>130 a 160</t>
  </si>
  <si>
    <t>C2. Esquadrias face externas sem exposição a situação de risco [2]</t>
  </si>
  <si>
    <t>300 a 380</t>
  </si>
  <si>
    <t>C3. Esquadrias face internas [2]</t>
  </si>
  <si>
    <t>Fachadas envidraçadas</t>
  </si>
  <si>
    <t>D1. Fachadas envidraçadas [3]</t>
  </si>
  <si>
    <t>Áreas hospit. e assemelh.</t>
  </si>
  <si>
    <t>E1. Áreas hospitalares e assemelhadas</t>
  </si>
  <si>
    <r>
      <t>Total</t>
    </r>
    <r>
      <rPr>
        <sz val="10"/>
        <color rgb="FF000000"/>
        <rFont val="Arial"/>
        <family val="2"/>
      </rPr>
      <t> </t>
    </r>
  </si>
  <si>
    <t>Medida</t>
  </si>
  <si>
    <t>Quant mensal</t>
  </si>
  <si>
    <t>Valor m2</t>
  </si>
  <si>
    <t>jornada</t>
  </si>
  <si>
    <t>frequencia</t>
  </si>
  <si>
    <t>esq ext</t>
  </si>
  <si>
    <t>env ext</t>
  </si>
  <si>
    <t>CAMPUS CURRAIS NOVOS</t>
  </si>
  <si>
    <t>LITRO</t>
  </si>
  <si>
    <t>Jaguar</t>
  </si>
  <si>
    <t>Poliflor</t>
  </si>
  <si>
    <t>Plasútil</t>
  </si>
  <si>
    <t>Flashlimp, Esfrebom</t>
  </si>
  <si>
    <t>Pct 2 und</t>
  </si>
  <si>
    <t>Personal, Foex ou similar</t>
  </si>
  <si>
    <t>FARDO</t>
  </si>
  <si>
    <t>Isapel, cheff, vigo, lord ou similar</t>
  </si>
  <si>
    <t>Pacote 8 und</t>
  </si>
  <si>
    <t>Dama, cheff, vigo, lord ou similar</t>
  </si>
  <si>
    <t>FARDO 1000 folhas</t>
  </si>
  <si>
    <t>Pato, Harpic ou similar</t>
  </si>
  <si>
    <t>Ajax</t>
  </si>
  <si>
    <t>Natrielli, Star, Limpem ou similar</t>
  </si>
  <si>
    <t>Botafogo</t>
  </si>
  <si>
    <t>Bettanin</t>
  </si>
  <si>
    <t>Renko, Ypê, Omo, Brilhante ou similar</t>
  </si>
  <si>
    <t>Embalagem 5l</t>
  </si>
  <si>
    <t>BECKER, RENKO, BAKVEL</t>
  </si>
  <si>
    <t>Premisse</t>
  </si>
  <si>
    <t>Salix</t>
  </si>
  <si>
    <t>Nobre City</t>
  </si>
  <si>
    <t>Luvas Nobre</t>
  </si>
  <si>
    <t>TRAPP</t>
  </si>
  <si>
    <t>Mendonça</t>
  </si>
  <si>
    <t>Dell Forte</t>
  </si>
  <si>
    <t>Voviça</t>
  </si>
  <si>
    <t>EPIs/EPCs</t>
  </si>
  <si>
    <t>MG Cintos - Sideup - Ultra Safe</t>
  </si>
  <si>
    <t>und</t>
  </si>
  <si>
    <t>Plastcor - Worker - Protcap</t>
  </si>
  <si>
    <t>par</t>
  </si>
  <si>
    <t>Danny - Volk do Brasil - Promat</t>
  </si>
  <si>
    <t>Par</t>
  </si>
  <si>
    <t>Plastcor - Maicol - Protcap</t>
  </si>
  <si>
    <t>Bracol - Fujiwara - Marluvas</t>
  </si>
  <si>
    <t>Garcia - Pinotty</t>
  </si>
  <si>
    <t xml:space="preserve">Nutriex - Nutri Profissional </t>
  </si>
  <si>
    <t>bisnaga 200ml</t>
  </si>
  <si>
    <t>Caixa 100 und</t>
  </si>
  <si>
    <t>Protdesc - Medix</t>
  </si>
  <si>
    <t>caixa 50 unidades</t>
  </si>
  <si>
    <t>Kalipso - Plastcor - Vonder</t>
  </si>
  <si>
    <t>Bralimpia - Plastcor - Nobre</t>
  </si>
  <si>
    <t>Proteplus - Plastcor - Vonder</t>
  </si>
  <si>
    <t>KSN - Delta - Air Safety</t>
  </si>
  <si>
    <t>KARCHER HD 4/13 C NEW, VONDER, OU DE MARCA SIMILAR/SUPERIOR</t>
  </si>
  <si>
    <t>Campus Currais Novos (Grupo 1)</t>
  </si>
  <si>
    <t>Categoria profissional: Servente de limpeza com insalubridade</t>
  </si>
  <si>
    <t>Categoria profissional: Encarregado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</si>
</sst>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R$&quot;\ #,##0.00;[Red]\-&quot;R$&quot;\ #,##0.00"/>
    <numFmt numFmtId="44" formatCode="_-&quot;R$&quot;\ * #,##0.00_-;\-&quot;R$&quot;\ * #,##0.00_-;_-&quot;R$&quot;\ * &quot;-&quot;??_-;_-@_-"/>
    <numFmt numFmtId="43" formatCode="_-* #,##0.00_-;\-* #,##0.00_-;_-* &quot;-&quot;??_-;_-@_-"/>
    <numFmt numFmtId="164" formatCode="&quot;R$ &quot;#,##0.00_);[Red]\(&quot;R$ &quot;#,##0.00\)"/>
    <numFmt numFmtId="165" formatCode="_(&quot;R$ &quot;* #,##0.00_);_(&quot;R$ &quot;* \(#,##0.00\);_(&quot;R$ &quot;* &quot;-&quot;??_);_(@_)"/>
    <numFmt numFmtId="166" formatCode="0.0%"/>
    <numFmt numFmtId="167" formatCode="&quot;R$&quot;\ #,##0.00"/>
    <numFmt numFmtId="168" formatCode="&quot;R$&quot;#,##0.00"/>
    <numFmt numFmtId="169" formatCode="0.0000000000"/>
    <numFmt numFmtId="170" formatCode="0.0000"/>
    <numFmt numFmtId="171" formatCode="0.000000000"/>
    <numFmt numFmtId="172" formatCode="0.00000000"/>
    <numFmt numFmtId="173" formatCode="0.00000000000"/>
    <numFmt numFmtId="174" formatCode="0.0000000"/>
    <numFmt numFmtId="175" formatCode="&quot;R$&quot;\ #,##0.0000"/>
    <numFmt numFmtId="176" formatCode="#,##0.0000"/>
  </numFmts>
  <fonts count="24">
    <font>
      <sz val="10"/>
      <name val="Arial"/>
      <charset val="134"/>
    </font>
    <font>
      <b/>
      <sz val="12"/>
      <name val="Arial"/>
      <family val="2"/>
    </font>
    <font>
      <b/>
      <sz val="10"/>
      <name val="Arial"/>
      <family val="2"/>
    </font>
    <font>
      <sz val="10"/>
      <name val="Arial"/>
      <family val="2"/>
    </font>
    <font>
      <sz val="10"/>
      <color rgb="FFFF0000"/>
      <name val="Arial"/>
      <family val="2"/>
    </font>
    <font>
      <b/>
      <sz val="10"/>
      <color rgb="FFFF0000"/>
      <name val="Arial"/>
      <family val="2"/>
    </font>
    <font>
      <sz val="10"/>
      <color indexed="10"/>
      <name val="Arial"/>
      <family val="2"/>
    </font>
    <font>
      <b/>
      <sz val="11"/>
      <color theme="1"/>
      <name val="Calibri"/>
      <family val="2"/>
      <scheme val="minor"/>
    </font>
    <font>
      <b/>
      <sz val="10"/>
      <color rgb="FF000000"/>
      <name val="Arial"/>
      <family val="2"/>
    </font>
    <font>
      <sz val="10"/>
      <color rgb="FF000000"/>
      <name val="Arial"/>
      <family val="2"/>
    </font>
    <font>
      <sz val="10"/>
      <color rgb="FF000000"/>
      <name val="Arial"/>
      <family val="2"/>
    </font>
    <font>
      <sz val="8"/>
      <name val="Arial"/>
      <family val="2"/>
    </font>
    <font>
      <b/>
      <sz val="14"/>
      <color theme="1"/>
      <name val="Arial"/>
      <family val="2"/>
    </font>
    <font>
      <b/>
      <sz val="12"/>
      <color theme="1"/>
      <name val="Arial"/>
      <family val="2"/>
    </font>
    <font>
      <sz val="10"/>
      <color theme="1"/>
      <name val="Arial"/>
      <family val="2"/>
    </font>
    <font>
      <u/>
      <sz val="11"/>
      <color theme="10"/>
      <name val="Calibri"/>
      <family val="2"/>
      <scheme val="minor"/>
    </font>
    <font>
      <b/>
      <u/>
      <sz val="11"/>
      <color theme="10"/>
      <name val="Calibri"/>
      <family val="2"/>
      <scheme val="minor"/>
    </font>
    <font>
      <b/>
      <u/>
      <sz val="9"/>
      <color rgb="FF000000"/>
      <name val="Arial"/>
      <family val="2"/>
    </font>
    <font>
      <sz val="9"/>
      <color rgb="FF000000"/>
      <name val="Arial"/>
      <family val="2"/>
    </font>
    <font>
      <sz val="9"/>
      <color theme="1"/>
      <name val="Arial"/>
      <family val="2"/>
    </font>
    <font>
      <b/>
      <u/>
      <sz val="9"/>
      <color theme="1"/>
      <name val="Arial"/>
      <family val="2"/>
    </font>
    <font>
      <b/>
      <sz val="9"/>
      <color theme="1"/>
      <name val="Arial"/>
      <family val="2"/>
    </font>
    <font>
      <b/>
      <sz val="10"/>
      <color theme="1"/>
      <name val="Arial"/>
      <family val="2"/>
    </font>
    <font>
      <b/>
      <sz val="10"/>
      <color theme="1"/>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0" tint="-0.34998626667073579"/>
        <bgColor indexed="64"/>
      </patternFill>
    </fill>
    <fill>
      <patternFill patternType="solid">
        <fgColor indexed="22"/>
        <bgColor indexed="64"/>
      </patternFill>
    </fill>
    <fill>
      <patternFill patternType="solid">
        <fgColor indexed="22"/>
        <bgColor indexed="31"/>
      </patternFill>
    </fill>
    <fill>
      <patternFill patternType="solid">
        <fgColor theme="0"/>
        <bgColor indexed="64"/>
      </patternFill>
    </fill>
    <fill>
      <patternFill patternType="solid">
        <fgColor theme="0"/>
        <bgColor indexed="31"/>
      </patternFill>
    </fill>
    <fill>
      <patternFill patternType="solid">
        <fgColor theme="0" tint="-0.14996795556505021"/>
        <bgColor indexed="64"/>
      </patternFill>
    </fill>
    <fill>
      <patternFill patternType="solid">
        <fgColor rgb="FFFFFF00"/>
        <bgColor indexed="64"/>
      </patternFill>
    </fill>
    <fill>
      <patternFill patternType="solid">
        <fgColor rgb="FF92D050"/>
        <bgColor indexed="64"/>
      </patternFill>
    </fill>
    <fill>
      <patternFill patternType="solid">
        <fgColor rgb="FFA6A6A6"/>
        <bgColor rgb="FF000000"/>
      </patternFill>
    </fill>
    <fill>
      <patternFill patternType="solid">
        <fgColor theme="0" tint="-0.14999847407452621"/>
        <bgColor indexed="64"/>
      </patternFill>
    </fill>
    <fill>
      <patternFill patternType="solid">
        <fgColor rgb="FFD9D9D9"/>
        <bgColor indexed="64"/>
      </patternFill>
    </fill>
    <fill>
      <patternFill patternType="solid">
        <fgColor rgb="FFA6A6A6"/>
        <bgColor indexed="64"/>
      </patternFill>
    </fill>
    <fill>
      <patternFill patternType="solid">
        <fgColor rgb="FFFFFF00"/>
        <bgColor rgb="FF000000"/>
      </patternFill>
    </fill>
    <fill>
      <patternFill patternType="solid">
        <fgColor rgb="FFFFFFFF"/>
        <bgColor indexed="64"/>
      </patternFill>
    </fill>
    <fill>
      <patternFill patternType="solid">
        <fgColor rgb="FFD9D9D9"/>
        <bgColor rgb="FF000000"/>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9" fontId="3" fillId="0" borderId="0" applyFill="0" applyBorder="0" applyAlignment="0" applyProtection="0"/>
    <xf numFmtId="165" fontId="3" fillId="0" borderId="0" applyFill="0" applyBorder="0" applyAlignment="0" applyProtection="0"/>
    <xf numFmtId="0" fontId="15" fillId="0" borderId="0" applyNumberFormat="0" applyFill="0" applyBorder="0" applyAlignment="0" applyProtection="0"/>
  </cellStyleXfs>
  <cellXfs count="313">
    <xf numFmtId="0" fontId="0" fillId="0" borderId="0" xfId="0"/>
    <xf numFmtId="0" fontId="2" fillId="0" borderId="1" xfId="0" applyFont="1" applyBorder="1" applyAlignment="1">
      <alignment horizontal="center"/>
    </xf>
    <xf numFmtId="0" fontId="0" fillId="0" borderId="1" xfId="0" applyBorder="1" applyAlignment="1">
      <alignment horizontal="center"/>
    </xf>
    <xf numFmtId="165" fontId="0" fillId="0" borderId="1" xfId="2" applyFont="1" applyBorder="1"/>
    <xf numFmtId="165" fontId="0" fillId="0" borderId="1" xfId="0" applyNumberFormat="1" applyBorder="1"/>
    <xf numFmtId="0" fontId="0" fillId="0" borderId="1" xfId="0" applyBorder="1"/>
    <xf numFmtId="165" fontId="2" fillId="2" borderId="1" xfId="0" applyNumberFormat="1" applyFont="1" applyFill="1" applyBorder="1"/>
    <xf numFmtId="165" fontId="2" fillId="0" borderId="1" xfId="0" applyNumberFormat="1" applyFont="1" applyBorder="1"/>
    <xf numFmtId="0" fontId="2" fillId="0" borderId="1" xfId="0" applyFont="1" applyBorder="1"/>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10" fontId="0" fillId="6" borderId="1" xfId="0" applyNumberFormat="1" applyFill="1" applyBorder="1" applyAlignment="1">
      <alignment horizontal="center"/>
    </xf>
    <xf numFmtId="10" fontId="2" fillId="0" borderId="1" xfId="0" applyNumberFormat="1" applyFont="1" applyBorder="1" applyAlignment="1">
      <alignment horizontal="center"/>
    </xf>
    <xf numFmtId="0" fontId="2" fillId="7" borderId="1" xfId="0" applyFont="1" applyFill="1" applyBorder="1" applyAlignment="1">
      <alignment horizontal="center"/>
    </xf>
    <xf numFmtId="2" fontId="2" fillId="0" borderId="1" xfId="0" applyNumberFormat="1" applyFont="1" applyBorder="1"/>
    <xf numFmtId="2" fontId="2" fillId="0" borderId="0" xfId="0" applyNumberFormat="1" applyFont="1"/>
    <xf numFmtId="0" fontId="2" fillId="0" borderId="0" xfId="0" applyFont="1"/>
    <xf numFmtId="2" fontId="0" fillId="0" borderId="1" xfId="0" applyNumberFormat="1" applyBorder="1" applyAlignment="1">
      <alignment horizontal="right"/>
    </xf>
    <xf numFmtId="2" fontId="0" fillId="0" borderId="1" xfId="0" applyNumberFormat="1" applyBorder="1"/>
    <xf numFmtId="10" fontId="0" fillId="0" borderId="1" xfId="0" applyNumberFormat="1" applyBorder="1" applyAlignment="1">
      <alignment horizontal="center"/>
    </xf>
    <xf numFmtId="0" fontId="5" fillId="0" borderId="2" xfId="0" applyFont="1" applyBorder="1" applyAlignment="1">
      <alignment horizontal="center"/>
    </xf>
    <xf numFmtId="10" fontId="5" fillId="0" borderId="3" xfId="1" applyNumberFormat="1" applyFont="1" applyBorder="1" applyAlignment="1"/>
    <xf numFmtId="0" fontId="5" fillId="0" borderId="13" xfId="0" applyFont="1" applyBorder="1" applyAlignment="1">
      <alignment horizontal="center"/>
    </xf>
    <xf numFmtId="0" fontId="5" fillId="0" borderId="0" xfId="0" applyFont="1" applyAlignment="1">
      <alignment horizontal="left"/>
    </xf>
    <xf numFmtId="10" fontId="5" fillId="0" borderId="0" xfId="1" applyNumberFormat="1" applyFont="1" applyBorder="1" applyAlignment="1"/>
    <xf numFmtId="0" fontId="4" fillId="0" borderId="13" xfId="0" applyFont="1" applyBorder="1"/>
    <xf numFmtId="0" fontId="5" fillId="0" borderId="14" xfId="0" applyFont="1" applyBorder="1" applyAlignment="1">
      <alignment horizontal="center"/>
    </xf>
    <xf numFmtId="10" fontId="5" fillId="0" borderId="12" xfId="1" applyNumberFormat="1" applyFont="1" applyBorder="1" applyAlignment="1"/>
    <xf numFmtId="2" fontId="0" fillId="0" borderId="1" xfId="0" applyNumberFormat="1" applyBorder="1" applyAlignment="1">
      <alignment horizontal="center"/>
    </xf>
    <xf numFmtId="2" fontId="5" fillId="0" borderId="4" xfId="0" applyNumberFormat="1" applyFont="1" applyBorder="1"/>
    <xf numFmtId="2" fontId="5" fillId="0" borderId="15" xfId="0" applyNumberFormat="1" applyFont="1" applyBorder="1"/>
    <xf numFmtId="2" fontId="5" fillId="0" borderId="16" xfId="0" applyNumberFormat="1" applyFont="1" applyBorder="1"/>
    <xf numFmtId="165" fontId="2" fillId="0" borderId="0" xfId="2" applyFont="1"/>
    <xf numFmtId="10" fontId="3" fillId="0" borderId="1" xfId="1" applyNumberFormat="1" applyBorder="1" applyAlignment="1">
      <alignment horizontal="center"/>
    </xf>
    <xf numFmtId="10" fontId="3" fillId="0" borderId="1" xfId="1" applyNumberFormat="1" applyFill="1" applyBorder="1" applyAlignment="1">
      <alignment horizontal="center"/>
    </xf>
    <xf numFmtId="9" fontId="0" fillId="0" borderId="1" xfId="0" applyNumberFormat="1" applyBorder="1"/>
    <xf numFmtId="10" fontId="0" fillId="0" borderId="1" xfId="0" applyNumberFormat="1" applyBorder="1"/>
    <xf numFmtId="10" fontId="3" fillId="0" borderId="1" xfId="1" applyNumberFormat="1" applyBorder="1" applyAlignment="1"/>
    <xf numFmtId="166" fontId="3" fillId="0" borderId="1" xfId="1" applyNumberFormat="1" applyBorder="1" applyAlignment="1"/>
    <xf numFmtId="9" fontId="3" fillId="0" borderId="1" xfId="1" applyBorder="1" applyAlignment="1"/>
    <xf numFmtId="2" fontId="0" fillId="0" borderId="0" xfId="0" applyNumberFormat="1"/>
    <xf numFmtId="43" fontId="0" fillId="0" borderId="0" xfId="0" applyNumberFormat="1"/>
    <xf numFmtId="0" fontId="2" fillId="0" borderId="1" xfId="0" applyFont="1" applyBorder="1" applyAlignment="1">
      <alignment horizontal="center" wrapText="1"/>
    </xf>
    <xf numFmtId="0" fontId="0" fillId="0" borderId="1" xfId="0" applyBorder="1" applyAlignment="1">
      <alignment horizontal="center" vertical="center"/>
    </xf>
    <xf numFmtId="0" fontId="3" fillId="0" borderId="1" xfId="0" applyFont="1" applyBorder="1"/>
    <xf numFmtId="0" fontId="0" fillId="0" borderId="0" xfId="0" applyAlignment="1">
      <alignment horizontal="left" vertical="top" wrapText="1"/>
    </xf>
    <xf numFmtId="0" fontId="0" fillId="0" borderId="0" xfId="0" applyAlignment="1">
      <alignment horizontal="left" vertical="top"/>
    </xf>
    <xf numFmtId="10" fontId="0" fillId="0" borderId="0" xfId="0" applyNumberFormat="1"/>
    <xf numFmtId="0" fontId="3" fillId="0" borderId="1" xfId="0" applyFont="1" applyBorder="1" applyAlignment="1">
      <alignment horizontal="center" vertical="center"/>
    </xf>
    <xf numFmtId="0" fontId="2" fillId="0" borderId="1" xfId="0" applyFont="1" applyBorder="1" applyAlignment="1">
      <alignment horizontal="center" vertical="center"/>
    </xf>
    <xf numFmtId="10" fontId="3" fillId="6" borderId="1" xfId="0" applyNumberFormat="1" applyFont="1" applyFill="1" applyBorder="1" applyAlignment="1">
      <alignment horizontal="center"/>
    </xf>
    <xf numFmtId="168" fontId="0" fillId="0" borderId="0" xfId="0" applyNumberFormat="1"/>
    <xf numFmtId="167" fontId="0" fillId="0" borderId="0" xfId="0" applyNumberFormat="1" applyAlignment="1">
      <alignment horizontal="center"/>
    </xf>
    <xf numFmtId="165" fontId="0" fillId="0" borderId="0" xfId="2" applyFont="1"/>
    <xf numFmtId="0" fontId="7" fillId="10" borderId="1" xfId="0" applyFont="1" applyFill="1" applyBorder="1" applyAlignment="1">
      <alignment horizontal="center" vertical="center"/>
    </xf>
    <xf numFmtId="0" fontId="7" fillId="10" borderId="1" xfId="0" applyFont="1" applyFill="1" applyBorder="1" applyAlignment="1">
      <alignment horizontal="center" wrapText="1"/>
    </xf>
    <xf numFmtId="44" fontId="7" fillId="10" borderId="1" xfId="0" applyNumberFormat="1" applyFont="1" applyFill="1" applyBorder="1" applyAlignment="1">
      <alignment horizontal="center" wrapText="1"/>
    </xf>
    <xf numFmtId="169" fontId="0" fillId="0" borderId="1" xfId="0" applyNumberFormat="1" applyBorder="1"/>
    <xf numFmtId="170" fontId="0" fillId="0" borderId="1" xfId="0" applyNumberFormat="1" applyBorder="1"/>
    <xf numFmtId="44" fontId="0" fillId="0" borderId="1" xfId="0" applyNumberFormat="1" applyBorder="1"/>
    <xf numFmtId="171" fontId="0" fillId="0" borderId="0" xfId="0" applyNumberFormat="1"/>
    <xf numFmtId="172" fontId="0" fillId="0" borderId="0" xfId="0" applyNumberFormat="1"/>
    <xf numFmtId="44" fontId="0" fillId="0" borderId="0" xfId="0" applyNumberFormat="1"/>
    <xf numFmtId="44" fontId="7" fillId="0" borderId="1" xfId="0" applyNumberFormat="1" applyFont="1" applyBorder="1"/>
    <xf numFmtId="169" fontId="0" fillId="0" borderId="0" xfId="0" applyNumberFormat="1"/>
    <xf numFmtId="172" fontId="0" fillId="0" borderId="1" xfId="0" applyNumberFormat="1" applyBorder="1"/>
    <xf numFmtId="171" fontId="0" fillId="0" borderId="1" xfId="0" applyNumberFormat="1" applyBorder="1"/>
    <xf numFmtId="173" fontId="0" fillId="0" borderId="0" xfId="0" applyNumberFormat="1"/>
    <xf numFmtId="0" fontId="7" fillId="10" borderId="1" xfId="0" applyFont="1" applyFill="1" applyBorder="1" applyAlignment="1">
      <alignment horizontal="center" vertical="center" wrapText="1"/>
    </xf>
    <xf numFmtId="44" fontId="7" fillId="10" borderId="1" xfId="0" applyNumberFormat="1" applyFont="1" applyFill="1" applyBorder="1" applyAlignment="1">
      <alignment horizontal="center" vertical="center" wrapText="1"/>
    </xf>
    <xf numFmtId="11" fontId="0" fillId="0" borderId="0" xfId="0" applyNumberFormat="1"/>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44" fontId="0" fillId="10" borderId="1" xfId="0" applyNumberFormat="1" applyFill="1" applyBorder="1" applyAlignment="1">
      <alignment horizontal="center" vertical="center" wrapText="1"/>
    </xf>
    <xf numFmtId="174" fontId="0" fillId="0" borderId="0" xfId="0" applyNumberFormat="1"/>
    <xf numFmtId="44" fontId="0" fillId="10" borderId="1" xfId="0" applyNumberFormat="1" applyFill="1" applyBorder="1" applyAlignment="1">
      <alignment horizontal="center"/>
    </xf>
    <xf numFmtId="0" fontId="8" fillId="11" borderId="19" xfId="0" applyFont="1" applyFill="1" applyBorder="1" applyAlignment="1">
      <alignment vertical="center" wrapText="1"/>
    </xf>
    <xf numFmtId="0" fontId="8" fillId="11" borderId="20" xfId="0" applyFont="1" applyFill="1" applyBorder="1" applyAlignment="1">
      <alignment horizontal="center" vertical="center" wrapText="1"/>
    </xf>
    <xf numFmtId="0" fontId="8" fillId="11" borderId="27" xfId="0" applyFont="1" applyFill="1" applyBorder="1" applyAlignment="1">
      <alignment vertical="center" wrapText="1"/>
    </xf>
    <xf numFmtId="4" fontId="8" fillId="11" borderId="19" xfId="0" applyNumberFormat="1" applyFont="1" applyFill="1" applyBorder="1" applyAlignment="1">
      <alignment vertical="center" wrapText="1"/>
    </xf>
    <xf numFmtId="4" fontId="8" fillId="11" borderId="17" xfId="0" applyNumberFormat="1" applyFont="1" applyFill="1" applyBorder="1" applyAlignment="1">
      <alignment vertical="center" wrapText="1"/>
    </xf>
    <xf numFmtId="0" fontId="9" fillId="0" borderId="1" xfId="0" applyFont="1" applyBorder="1" applyAlignment="1">
      <alignment horizontal="center" vertical="center" wrapText="1"/>
    </xf>
    <xf numFmtId="0" fontId="9" fillId="12" borderId="24" xfId="0" applyFont="1" applyFill="1" applyBorder="1" applyAlignment="1">
      <alignment vertical="center" wrapText="1"/>
    </xf>
    <xf numFmtId="3" fontId="9" fillId="13" borderId="27" xfId="0" applyNumberFormat="1" applyFont="1" applyFill="1" applyBorder="1" applyAlignment="1">
      <alignment vertical="center" wrapText="1"/>
    </xf>
    <xf numFmtId="0" fontId="9" fillId="12" borderId="27" xfId="0" applyFont="1" applyFill="1" applyBorder="1" applyAlignment="1">
      <alignment vertical="center" wrapText="1"/>
    </xf>
    <xf numFmtId="3" fontId="9" fillId="13" borderId="27" xfId="0" applyNumberFormat="1" applyFont="1" applyFill="1" applyBorder="1" applyAlignment="1">
      <alignment horizontal="center" vertical="center"/>
    </xf>
    <xf numFmtId="3" fontId="9" fillId="13" borderId="27" xfId="0" applyNumberFormat="1" applyFont="1" applyFill="1" applyBorder="1" applyAlignment="1">
      <alignment horizontal="left" vertical="center" wrapText="1"/>
    </xf>
    <xf numFmtId="3" fontId="9" fillId="13" borderId="27" xfId="0" applyNumberFormat="1" applyFont="1" applyFill="1" applyBorder="1" applyAlignment="1">
      <alignment vertical="center"/>
    </xf>
    <xf numFmtId="0" fontId="9" fillId="13" borderId="27" xfId="0" applyFont="1" applyFill="1" applyBorder="1" applyAlignment="1">
      <alignment vertical="center"/>
    </xf>
    <xf numFmtId="0" fontId="9" fillId="13" borderId="25" xfId="0" applyFont="1" applyFill="1" applyBorder="1" applyAlignment="1">
      <alignment vertical="center" wrapText="1"/>
    </xf>
    <xf numFmtId="0" fontId="10" fillId="13" borderId="25" xfId="0" applyFont="1" applyFill="1" applyBorder="1" applyAlignment="1">
      <alignment vertical="center" wrapText="1"/>
    </xf>
    <xf numFmtId="0" fontId="9" fillId="13" borderId="27" xfId="0" applyFont="1" applyFill="1" applyBorder="1" applyAlignment="1">
      <alignment vertical="center" wrapText="1"/>
    </xf>
    <xf numFmtId="0" fontId="9" fillId="13" borderId="19" xfId="0" applyFont="1" applyFill="1" applyBorder="1" applyAlignment="1">
      <alignment vertical="center" wrapText="1"/>
    </xf>
    <xf numFmtId="0" fontId="9" fillId="12" borderId="17" xfId="0" applyFont="1" applyFill="1" applyBorder="1" applyAlignment="1">
      <alignment vertical="center"/>
    </xf>
    <xf numFmtId="0" fontId="9" fillId="12" borderId="1" xfId="0" applyFont="1" applyFill="1" applyBorder="1" applyAlignment="1">
      <alignment horizontal="left" vertical="center"/>
    </xf>
    <xf numFmtId="0" fontId="9" fillId="0" borderId="1" xfId="0" applyFont="1" applyBorder="1" applyAlignment="1">
      <alignment horizontal="left" vertical="center"/>
    </xf>
    <xf numFmtId="0" fontId="9" fillId="13" borderId="28" xfId="0" applyFont="1" applyFill="1" applyBorder="1" applyAlignment="1">
      <alignment vertical="center" wrapText="1"/>
    </xf>
    <xf numFmtId="0" fontId="9" fillId="0" borderId="0" xfId="0" applyFont="1" applyAlignment="1">
      <alignment vertical="center"/>
    </xf>
    <xf numFmtId="3" fontId="8" fillId="13" borderId="19" xfId="0" applyNumberFormat="1" applyFont="1" applyFill="1" applyBorder="1" applyAlignment="1">
      <alignment vertical="center" wrapText="1"/>
    </xf>
    <xf numFmtId="0" fontId="8" fillId="13" borderId="19" xfId="0" applyFont="1" applyFill="1" applyBorder="1" applyAlignment="1">
      <alignment vertical="center" wrapText="1"/>
    </xf>
    <xf numFmtId="4" fontId="8" fillId="13" borderId="19" xfId="0" applyNumberFormat="1" applyFont="1" applyFill="1" applyBorder="1" applyAlignment="1">
      <alignment vertical="center" wrapText="1"/>
    </xf>
    <xf numFmtId="0" fontId="8" fillId="13" borderId="17" xfId="0" applyFont="1" applyFill="1" applyBorder="1" applyAlignment="1">
      <alignment vertical="center" wrapText="1"/>
    </xf>
    <xf numFmtId="0" fontId="3" fillId="0" borderId="1" xfId="0" applyFont="1" applyBorder="1" applyAlignment="1">
      <alignment vertical="center" wrapText="1"/>
    </xf>
    <xf numFmtId="175" fontId="0" fillId="0" borderId="1" xfId="0" applyNumberFormat="1" applyBorder="1" applyAlignment="1">
      <alignment horizontal="center" vertical="center"/>
    </xf>
    <xf numFmtId="175" fontId="0" fillId="0" borderId="1" xfId="0" applyNumberFormat="1" applyBorder="1"/>
    <xf numFmtId="4" fontId="14" fillId="13" borderId="0" xfId="0" applyNumberFormat="1" applyFont="1" applyFill="1" applyAlignment="1">
      <alignment wrapText="1"/>
    </xf>
    <xf numFmtId="0" fontId="16" fillId="13" borderId="0" xfId="3" applyFont="1" applyFill="1" applyAlignment="1">
      <alignment horizontal="left" vertical="center"/>
    </xf>
    <xf numFmtId="0" fontId="14" fillId="13" borderId="0" xfId="0" applyFont="1" applyFill="1" applyAlignment="1">
      <alignment vertical="center" wrapText="1"/>
    </xf>
    <xf numFmtId="0" fontId="17" fillId="9" borderId="0" xfId="0" applyFont="1" applyFill="1" applyAlignment="1">
      <alignment vertical="top"/>
    </xf>
    <xf numFmtId="0" fontId="14" fillId="13" borderId="0" xfId="0" applyFont="1" applyFill="1"/>
    <xf numFmtId="0" fontId="13" fillId="13" borderId="0" xfId="0" applyFont="1" applyFill="1" applyAlignment="1">
      <alignment wrapText="1"/>
    </xf>
    <xf numFmtId="0" fontId="13" fillId="13" borderId="0" xfId="0" applyFont="1" applyFill="1"/>
    <xf numFmtId="0" fontId="18" fillId="15" borderId="0" xfId="0" applyFont="1" applyFill="1" applyAlignment="1">
      <alignment horizontal="left" vertical="center" wrapText="1"/>
    </xf>
    <xf numFmtId="0" fontId="19" fillId="13" borderId="0" xfId="0" applyFont="1" applyFill="1"/>
    <xf numFmtId="0" fontId="19" fillId="13" borderId="0" xfId="0" applyFont="1" applyFill="1" applyAlignment="1">
      <alignment wrapText="1"/>
    </xf>
    <xf numFmtId="4" fontId="19" fillId="13" borderId="0" xfId="0" applyNumberFormat="1" applyFont="1" applyFill="1"/>
    <xf numFmtId="0" fontId="19" fillId="13" borderId="0" xfId="0" applyFont="1" applyFill="1" applyAlignment="1">
      <alignment vertical="center" wrapText="1"/>
    </xf>
    <xf numFmtId="0" fontId="20" fillId="13" borderId="21" xfId="0" applyFont="1" applyFill="1" applyBorder="1"/>
    <xf numFmtId="0" fontId="19" fillId="13" borderId="18" xfId="0" applyFont="1" applyFill="1" applyBorder="1"/>
    <xf numFmtId="0" fontId="19" fillId="9" borderId="28" xfId="0" applyFont="1" applyFill="1" applyBorder="1"/>
    <xf numFmtId="0" fontId="19" fillId="13" borderId="29" xfId="0" applyFont="1" applyFill="1" applyBorder="1"/>
    <xf numFmtId="0" fontId="19" fillId="16" borderId="25" xfId="0" applyFont="1" applyFill="1" applyBorder="1"/>
    <xf numFmtId="0" fontId="19" fillId="13" borderId="24" xfId="0" applyFont="1" applyFill="1" applyBorder="1"/>
    <xf numFmtId="4" fontId="21" fillId="14" borderId="19" xfId="0" applyNumberFormat="1" applyFont="1" applyFill="1" applyBorder="1" applyAlignment="1">
      <alignment vertical="top" wrapText="1"/>
    </xf>
    <xf numFmtId="4" fontId="21" fillId="14" borderId="17" xfId="0" applyNumberFormat="1" applyFont="1" applyFill="1" applyBorder="1" applyAlignment="1">
      <alignment vertical="top" wrapText="1"/>
    </xf>
    <xf numFmtId="4" fontId="19" fillId="13" borderId="20" xfId="0" applyNumberFormat="1" applyFont="1" applyFill="1" applyBorder="1" applyAlignment="1">
      <alignment wrapText="1"/>
    </xf>
    <xf numFmtId="4" fontId="19" fillId="13" borderId="19" xfId="0" applyNumberFormat="1" applyFont="1" applyFill="1" applyBorder="1" applyAlignment="1">
      <alignment wrapText="1"/>
    </xf>
    <xf numFmtId="4" fontId="19" fillId="13" borderId="17" xfId="0" applyNumberFormat="1" applyFont="1" applyFill="1" applyBorder="1" applyAlignment="1">
      <alignment wrapText="1"/>
    </xf>
    <xf numFmtId="0" fontId="21" fillId="14" borderId="19" xfId="0" applyFont="1" applyFill="1" applyBorder="1" applyAlignment="1">
      <alignment horizontal="center"/>
    </xf>
    <xf numFmtId="0" fontId="21" fillId="14" borderId="20" xfId="0" applyFont="1" applyFill="1" applyBorder="1"/>
    <xf numFmtId="0" fontId="19" fillId="13" borderId="19" xfId="0" applyFont="1" applyFill="1" applyBorder="1" applyAlignment="1">
      <alignment horizontal="left"/>
    </xf>
    <xf numFmtId="0" fontId="19" fillId="13" borderId="20" xfId="0" applyFont="1" applyFill="1" applyBorder="1"/>
    <xf numFmtId="4" fontId="19" fillId="13" borderId="21" xfId="0" applyNumberFormat="1" applyFont="1" applyFill="1" applyBorder="1" applyAlignment="1">
      <alignment wrapText="1"/>
    </xf>
    <xf numFmtId="0" fontId="19" fillId="13" borderId="0" xfId="0" applyFont="1" applyFill="1" applyAlignment="1">
      <alignment horizontal="left"/>
    </xf>
    <xf numFmtId="4" fontId="19" fillId="13" borderId="19" xfId="0" applyNumberFormat="1" applyFont="1" applyFill="1" applyBorder="1"/>
    <xf numFmtId="4" fontId="19" fillId="13" borderId="0" xfId="0" applyNumberFormat="1" applyFont="1" applyFill="1" applyAlignment="1">
      <alignment wrapText="1"/>
    </xf>
    <xf numFmtId="0" fontId="19" fillId="13" borderId="0" xfId="0" applyFont="1" applyFill="1" applyAlignment="1">
      <alignment horizontal="right" wrapText="1"/>
    </xf>
    <xf numFmtId="0" fontId="14" fillId="13" borderId="0" xfId="0" applyFont="1" applyFill="1" applyAlignment="1">
      <alignment wrapText="1"/>
    </xf>
    <xf numFmtId="4" fontId="14" fillId="13" borderId="0" xfId="0" applyNumberFormat="1" applyFont="1" applyFill="1"/>
    <xf numFmtId="4" fontId="22" fillId="13" borderId="0" xfId="0" applyNumberFormat="1" applyFont="1" applyFill="1" applyAlignment="1">
      <alignment horizontal="center" wrapText="1"/>
    </xf>
    <xf numFmtId="0" fontId="21" fillId="14" borderId="20" xfId="0" applyFont="1" applyFill="1" applyBorder="1" applyAlignment="1">
      <alignment vertical="center" wrapText="1"/>
    </xf>
    <xf numFmtId="0" fontId="21" fillId="14" borderId="19" xfId="0" applyFont="1" applyFill="1" applyBorder="1" applyAlignment="1">
      <alignment vertical="center" wrapText="1"/>
    </xf>
    <xf numFmtId="4" fontId="21" fillId="14" borderId="19" xfId="0" applyNumberFormat="1" applyFont="1" applyFill="1" applyBorder="1" applyAlignment="1">
      <alignment vertical="center" wrapText="1"/>
    </xf>
    <xf numFmtId="4" fontId="21" fillId="13" borderId="0" xfId="0" applyNumberFormat="1" applyFont="1" applyFill="1" applyAlignment="1">
      <alignment vertical="center" wrapText="1"/>
    </xf>
    <xf numFmtId="0" fontId="21" fillId="14" borderId="0" xfId="0" applyFont="1" applyFill="1" applyAlignment="1">
      <alignment vertical="center" wrapText="1"/>
    </xf>
    <xf numFmtId="0" fontId="22" fillId="13" borderId="0" xfId="0" applyFont="1" applyFill="1" applyAlignment="1">
      <alignment horizontal="center"/>
    </xf>
    <xf numFmtId="0" fontId="22" fillId="13" borderId="0" xfId="0" applyFont="1" applyFill="1" applyAlignment="1">
      <alignment horizontal="center" wrapText="1"/>
    </xf>
    <xf numFmtId="0" fontId="22" fillId="13" borderId="0" xfId="0" applyFont="1" applyFill="1"/>
    <xf numFmtId="0" fontId="22" fillId="14" borderId="19" xfId="0" applyFont="1" applyFill="1" applyBorder="1" applyAlignment="1">
      <alignment vertical="center" wrapText="1"/>
    </xf>
    <xf numFmtId="0" fontId="22" fillId="14" borderId="19" xfId="0" applyFont="1" applyFill="1" applyBorder="1" applyAlignment="1">
      <alignment horizontal="left" vertical="center" wrapText="1"/>
    </xf>
    <xf numFmtId="0" fontId="22" fillId="14" borderId="20" xfId="0" applyFont="1" applyFill="1" applyBorder="1" applyAlignment="1">
      <alignment vertical="center" wrapText="1"/>
    </xf>
    <xf numFmtId="4" fontId="22" fillId="14" borderId="19" xfId="0" applyNumberFormat="1" applyFont="1" applyFill="1" applyBorder="1" applyAlignment="1">
      <alignment vertical="center" wrapText="1"/>
    </xf>
    <xf numFmtId="4" fontId="22" fillId="13" borderId="0" xfId="0" applyNumberFormat="1" applyFont="1" applyFill="1" applyAlignment="1">
      <alignment vertical="center" wrapText="1"/>
    </xf>
    <xf numFmtId="0" fontId="22" fillId="14" borderId="0" xfId="0" applyFont="1" applyFill="1" applyAlignment="1">
      <alignment vertical="center" wrapText="1"/>
    </xf>
    <xf numFmtId="0" fontId="14" fillId="13" borderId="19" xfId="0" applyFont="1" applyFill="1" applyBorder="1" applyAlignment="1">
      <alignment vertical="center"/>
    </xf>
    <xf numFmtId="0" fontId="14" fillId="13" borderId="19" xfId="0" applyFont="1" applyFill="1" applyBorder="1" applyAlignment="1">
      <alignment vertical="center" wrapText="1"/>
    </xf>
    <xf numFmtId="0" fontId="14" fillId="13" borderId="19" xfId="0" applyFont="1" applyFill="1" applyBorder="1" applyAlignment="1">
      <alignment horizontal="left" vertical="top" wrapText="1"/>
    </xf>
    <xf numFmtId="0" fontId="14" fillId="16" borderId="20" xfId="0" applyFont="1" applyFill="1" applyBorder="1" applyAlignment="1">
      <alignment vertical="center" wrapText="1"/>
    </xf>
    <xf numFmtId="4" fontId="14" fillId="9" borderId="19" xfId="0" applyNumberFormat="1" applyFont="1" applyFill="1" applyBorder="1" applyAlignment="1">
      <alignment vertical="center"/>
    </xf>
    <xf numFmtId="4" fontId="14" fillId="13" borderId="19" xfId="0" applyNumberFormat="1" applyFont="1" applyFill="1" applyBorder="1" applyAlignment="1">
      <alignment vertical="center" wrapText="1"/>
    </xf>
    <xf numFmtId="4" fontId="14" fillId="13" borderId="0" xfId="0" applyNumberFormat="1" applyFont="1" applyFill="1" applyAlignment="1">
      <alignment vertical="center" wrapText="1"/>
    </xf>
    <xf numFmtId="0" fontId="14" fillId="13" borderId="0" xfId="0" applyFont="1" applyFill="1" applyAlignment="1">
      <alignment vertical="center"/>
    </xf>
    <xf numFmtId="0" fontId="14" fillId="16" borderId="18" xfId="0" applyFont="1" applyFill="1" applyBorder="1" applyAlignment="1">
      <alignment vertical="center" wrapText="1"/>
    </xf>
    <xf numFmtId="0" fontId="14" fillId="13" borderId="30" xfId="0" applyFont="1" applyFill="1" applyBorder="1" applyAlignment="1">
      <alignment vertical="center" wrapText="1"/>
    </xf>
    <xf numFmtId="4" fontId="14" fillId="9" borderId="30" xfId="0" applyNumberFormat="1" applyFont="1" applyFill="1" applyBorder="1" applyAlignment="1">
      <alignment vertical="center"/>
    </xf>
    <xf numFmtId="4" fontId="22" fillId="13" borderId="30" xfId="0" applyNumberFormat="1" applyFont="1" applyFill="1" applyBorder="1" applyAlignment="1">
      <alignment vertical="center" wrapText="1"/>
    </xf>
    <xf numFmtId="4" fontId="22" fillId="13" borderId="19" xfId="0" applyNumberFormat="1" applyFont="1" applyFill="1" applyBorder="1" applyAlignment="1">
      <alignment vertical="center" wrapText="1"/>
    </xf>
    <xf numFmtId="0" fontId="22" fillId="14" borderId="19" xfId="0" applyFont="1" applyFill="1" applyBorder="1" applyAlignment="1">
      <alignment horizontal="center" vertical="center" wrapText="1"/>
    </xf>
    <xf numFmtId="0" fontId="22" fillId="13" borderId="0" xfId="0" applyFont="1" applyFill="1" applyAlignment="1">
      <alignment horizontal="center" vertical="center" wrapText="1"/>
    </xf>
    <xf numFmtId="0" fontId="22" fillId="13" borderId="0" xfId="0" applyFont="1" applyFill="1" applyAlignment="1">
      <alignment horizontal="right" vertical="center"/>
    </xf>
    <xf numFmtId="0" fontId="22" fillId="13" borderId="0" xfId="0" applyFont="1" applyFill="1" applyAlignment="1">
      <alignment horizontal="right" vertical="center" wrapText="1"/>
    </xf>
    <xf numFmtId="0" fontId="14" fillId="13" borderId="20" xfId="0" applyFont="1" applyFill="1" applyBorder="1" applyAlignment="1">
      <alignment vertical="center" wrapText="1"/>
    </xf>
    <xf numFmtId="0" fontId="14" fillId="13" borderId="19" xfId="0" applyFont="1" applyFill="1" applyBorder="1" applyAlignment="1">
      <alignment vertical="top" wrapText="1"/>
    </xf>
    <xf numFmtId="0" fontId="14" fillId="16" borderId="19" xfId="0" applyFont="1" applyFill="1" applyBorder="1" applyAlignment="1">
      <alignment vertical="center" wrapText="1"/>
    </xf>
    <xf numFmtId="4" fontId="22" fillId="14" borderId="20" xfId="0" applyNumberFormat="1" applyFont="1" applyFill="1" applyBorder="1" applyAlignment="1">
      <alignment vertical="center" wrapText="1"/>
    </xf>
    <xf numFmtId="4" fontId="14" fillId="13" borderId="20" xfId="0" applyNumberFormat="1" applyFont="1" applyFill="1" applyBorder="1" applyAlignment="1">
      <alignment vertical="center" wrapText="1"/>
    </xf>
    <xf numFmtId="4" fontId="22" fillId="13" borderId="18" xfId="0" applyNumberFormat="1" applyFont="1" applyFill="1" applyBorder="1" applyAlignment="1">
      <alignment vertical="center" wrapText="1"/>
    </xf>
    <xf numFmtId="4" fontId="14" fillId="13" borderId="19" xfId="0" applyNumberFormat="1" applyFont="1" applyFill="1" applyBorder="1" applyAlignment="1">
      <alignment vertical="center"/>
    </xf>
    <xf numFmtId="0" fontId="0" fillId="13" borderId="0" xfId="0" applyFill="1"/>
    <xf numFmtId="0" fontId="0" fillId="0" borderId="19" xfId="0" applyBorder="1" applyAlignment="1">
      <alignment horizontal="left"/>
    </xf>
    <xf numFmtId="0" fontId="0" fillId="0" borderId="19" xfId="0" applyBorder="1"/>
    <xf numFmtId="8" fontId="0" fillId="0" borderId="19" xfId="0" applyNumberFormat="1" applyBorder="1"/>
    <xf numFmtId="165" fontId="0" fillId="0" borderId="6" xfId="0" applyNumberFormat="1" applyBorder="1"/>
    <xf numFmtId="0" fontId="2" fillId="0" borderId="31" xfId="0" applyFont="1" applyBorder="1" applyAlignment="1">
      <alignment horizontal="center"/>
    </xf>
    <xf numFmtId="0" fontId="0" fillId="0" borderId="32" xfId="0" applyBorder="1" applyAlignment="1">
      <alignment horizontal="center"/>
    </xf>
    <xf numFmtId="165" fontId="0" fillId="0" borderId="32" xfId="2" applyFont="1" applyBorder="1"/>
    <xf numFmtId="0" fontId="14" fillId="12" borderId="19" xfId="0" applyFont="1" applyFill="1" applyBorder="1" applyAlignment="1">
      <alignment vertical="center" wrapText="1"/>
    </xf>
    <xf numFmtId="0" fontId="14" fillId="12" borderId="20" xfId="0" applyFont="1" applyFill="1" applyBorder="1" applyAlignment="1">
      <alignment vertical="center" wrapText="1"/>
    </xf>
    <xf numFmtId="0" fontId="14" fillId="6" borderId="19" xfId="0" applyFont="1" applyFill="1" applyBorder="1" applyAlignment="1">
      <alignment vertical="center" wrapText="1"/>
    </xf>
    <xf numFmtId="0" fontId="14" fillId="9" borderId="20" xfId="0" applyFont="1" applyFill="1" applyBorder="1" applyAlignment="1">
      <alignment vertical="center" wrapText="1"/>
    </xf>
    <xf numFmtId="0" fontId="9" fillId="17" borderId="19" xfId="0" applyFont="1" applyFill="1" applyBorder="1" applyAlignment="1">
      <alignment wrapText="1"/>
    </xf>
    <xf numFmtId="0" fontId="10" fillId="6" borderId="19" xfId="0" applyFont="1" applyFill="1" applyBorder="1" applyAlignment="1">
      <alignment wrapText="1"/>
    </xf>
    <xf numFmtId="0" fontId="10" fillId="6" borderId="19" xfId="0" applyFont="1" applyFill="1" applyBorder="1" applyAlignment="1">
      <alignment vertical="center" wrapText="1"/>
    </xf>
    <xf numFmtId="3" fontId="0" fillId="0" borderId="1" xfId="0" applyNumberFormat="1" applyBorder="1"/>
    <xf numFmtId="3" fontId="0" fillId="0" borderId="1" xfId="0" applyNumberFormat="1" applyBorder="1" applyAlignment="1">
      <alignment horizontal="right" vertical="center"/>
    </xf>
    <xf numFmtId="176" fontId="8" fillId="13" borderId="19" xfId="0" applyNumberFormat="1" applyFont="1" applyFill="1" applyBorder="1" applyAlignment="1">
      <alignment vertical="center" wrapText="1"/>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2" fillId="4" borderId="1" xfId="0" applyFont="1" applyFill="1" applyBorder="1" applyAlignment="1">
      <alignment horizontal="center"/>
    </xf>
    <xf numFmtId="0" fontId="0" fillId="0" borderId="1" xfId="0" applyBorder="1" applyAlignment="1">
      <alignment horizontal="left"/>
    </xf>
    <xf numFmtId="0" fontId="0" fillId="0" borderId="0" xfId="0" applyAlignment="1">
      <alignment horizontal="center"/>
    </xf>
    <xf numFmtId="0" fontId="2" fillId="0" borderId="0" xfId="0" applyFont="1" applyAlignment="1">
      <alignment horizontal="center"/>
    </xf>
    <xf numFmtId="14" fontId="0" fillId="0" borderId="1" xfId="0" applyNumberFormat="1" applyBorder="1" applyAlignment="1">
      <alignment horizontal="center"/>
    </xf>
    <xf numFmtId="0" fontId="3" fillId="9" borderId="1" xfId="0" applyFont="1" applyFill="1" applyBorder="1" applyAlignment="1">
      <alignment horizontal="center"/>
    </xf>
    <xf numFmtId="0" fontId="0" fillId="9" borderId="1" xfId="0" applyFill="1" applyBorder="1" applyAlignment="1">
      <alignment horizontal="center"/>
    </xf>
    <xf numFmtId="164" fontId="0" fillId="0" borderId="1" xfId="0" applyNumberFormat="1" applyBorder="1" applyAlignment="1">
      <alignment horizontal="center"/>
    </xf>
    <xf numFmtId="0" fontId="2" fillId="5" borderId="1" xfId="0" applyFont="1" applyFill="1" applyBorder="1" applyAlignment="1">
      <alignment horizontal="center"/>
    </xf>
    <xf numFmtId="0" fontId="2" fillId="0" borderId="1" xfId="0" applyFont="1" applyBorder="1" applyAlignment="1">
      <alignment horizontal="center"/>
    </xf>
    <xf numFmtId="0" fontId="2" fillId="7" borderId="7" xfId="0" applyFont="1" applyFill="1" applyBorder="1" applyAlignment="1">
      <alignment horizontal="center"/>
    </xf>
    <xf numFmtId="0" fontId="2" fillId="7" borderId="0" xfId="0" applyFont="1" applyFill="1" applyAlignment="1">
      <alignment horizontal="center"/>
    </xf>
    <xf numFmtId="0" fontId="2" fillId="7" borderId="1" xfId="0" applyFont="1" applyFill="1" applyBorder="1" applyAlignment="1">
      <alignment horizontal="center"/>
    </xf>
    <xf numFmtId="0" fontId="2" fillId="7" borderId="5" xfId="0" applyFont="1" applyFill="1" applyBorder="1" applyAlignment="1">
      <alignment horizontal="center"/>
    </xf>
    <xf numFmtId="0" fontId="3" fillId="0" borderId="1" xfId="0" applyFont="1" applyBorder="1"/>
    <xf numFmtId="0" fontId="0" fillId="0" borderId="1" xfId="0" applyBorder="1"/>
    <xf numFmtId="0" fontId="3" fillId="0" borderId="5" xfId="0" applyFont="1"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2" fillId="8" borderId="1" xfId="0" applyFont="1" applyFill="1" applyBorder="1" applyAlignment="1">
      <alignment horizontal="center"/>
    </xf>
    <xf numFmtId="0" fontId="2" fillId="7" borderId="9" xfId="0" applyFont="1" applyFill="1" applyBorder="1" applyAlignment="1">
      <alignment horizontal="center"/>
    </xf>
    <xf numFmtId="0" fontId="2" fillId="7" borderId="3" xfId="0" applyFont="1" applyFill="1" applyBorder="1" applyAlignment="1">
      <alignment horizontal="center"/>
    </xf>
    <xf numFmtId="0" fontId="3" fillId="0" borderId="1"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xf>
    <xf numFmtId="0" fontId="2" fillId="7" borderId="10" xfId="0" applyFont="1" applyFill="1" applyBorder="1" applyAlignment="1">
      <alignment horizontal="center"/>
    </xf>
    <xf numFmtId="0" fontId="2" fillId="7" borderId="8" xfId="0"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xf numFmtId="0" fontId="2" fillId="0" borderId="1" xfId="0" applyFont="1" applyBorder="1" applyAlignment="1">
      <alignment horizontal="left"/>
    </xf>
    <xf numFmtId="0" fontId="0" fillId="0" borderId="0" xfId="0" applyAlignment="1">
      <alignment horizontal="left"/>
    </xf>
    <xf numFmtId="0" fontId="5" fillId="0" borderId="3" xfId="0" applyFont="1" applyBorder="1" applyAlignment="1">
      <alignment horizontal="left"/>
    </xf>
    <xf numFmtId="0" fontId="5" fillId="0" borderId="0" xfId="0" applyFont="1" applyAlignment="1">
      <alignment horizontal="left"/>
    </xf>
    <xf numFmtId="0" fontId="5" fillId="0" borderId="12" xfId="0" applyFont="1" applyBorder="1" applyAlignment="1">
      <alignment horizontal="left"/>
    </xf>
    <xf numFmtId="0" fontId="2" fillId="0" borderId="1" xfId="0" applyFont="1" applyBorder="1" applyAlignment="1">
      <alignment horizontal="center" wrapText="1"/>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xf numFmtId="167" fontId="2" fillId="0" borderId="1" xfId="0" applyNumberFormat="1" applyFont="1" applyBorder="1" applyAlignment="1">
      <alignment horizontal="center"/>
    </xf>
    <xf numFmtId="0" fontId="19" fillId="13" borderId="0" xfId="0" applyFont="1" applyFill="1"/>
    <xf numFmtId="0" fontId="19" fillId="13" borderId="0" xfId="0" applyFont="1" applyFill="1" applyAlignment="1">
      <alignment horizontal="center"/>
    </xf>
    <xf numFmtId="0" fontId="19" fillId="13" borderId="29" xfId="0" applyFont="1" applyFill="1" applyBorder="1" applyAlignment="1">
      <alignment horizontal="center"/>
    </xf>
    <xf numFmtId="4" fontId="21" fillId="14" borderId="17" xfId="0" applyNumberFormat="1" applyFont="1" applyFill="1" applyBorder="1" applyAlignment="1">
      <alignment horizontal="center" vertical="center" wrapText="1"/>
    </xf>
    <xf numFmtId="4" fontId="21" fillId="14" borderId="23" xfId="0" applyNumberFormat="1" applyFont="1" applyFill="1" applyBorder="1" applyAlignment="1">
      <alignment horizontal="center" vertical="center" wrapText="1"/>
    </xf>
    <xf numFmtId="4" fontId="21" fillId="14" borderId="17" xfId="0" applyNumberFormat="1" applyFont="1" applyFill="1" applyBorder="1" applyAlignment="1">
      <alignment horizontal="center" wrapText="1"/>
    </xf>
    <xf numFmtId="4" fontId="21" fillId="14" borderId="23" xfId="0" applyNumberFormat="1" applyFont="1" applyFill="1" applyBorder="1" applyAlignment="1">
      <alignment horizontal="center" wrapText="1"/>
    </xf>
    <xf numFmtId="4" fontId="21" fillId="14" borderId="20" xfId="0" applyNumberFormat="1" applyFont="1" applyFill="1" applyBorder="1" applyAlignment="1">
      <alignment horizontal="center" wrapText="1"/>
    </xf>
    <xf numFmtId="0" fontId="12" fillId="14" borderId="0" xfId="0" applyFont="1" applyFill="1" applyAlignment="1">
      <alignment horizontal="center" vertical="center"/>
    </xf>
    <xf numFmtId="0" fontId="13" fillId="13" borderId="0" xfId="0" applyFont="1" applyFill="1" applyAlignment="1">
      <alignment horizontal="center"/>
    </xf>
    <xf numFmtId="0" fontId="18" fillId="9" borderId="0" xfId="0" applyFont="1" applyFill="1" applyAlignment="1">
      <alignment horizontal="left" vertical="center"/>
    </xf>
    <xf numFmtId="0" fontId="18" fillId="15" borderId="0" xfId="0" applyFont="1" applyFill="1" applyAlignment="1">
      <alignment horizontal="left" vertical="center" wrapText="1"/>
    </xf>
    <xf numFmtId="9" fontId="19" fillId="13" borderId="0" xfId="0" applyNumberFormat="1" applyFont="1" applyFill="1" applyAlignment="1">
      <alignment horizontal="center"/>
    </xf>
    <xf numFmtId="0" fontId="19" fillId="14" borderId="19" xfId="0" applyFont="1" applyFill="1" applyBorder="1" applyAlignment="1">
      <alignment horizontal="right"/>
    </xf>
    <xf numFmtId="0" fontId="19" fillId="14" borderId="30" xfId="0" applyFont="1" applyFill="1" applyBorder="1" applyAlignment="1">
      <alignment horizontal="right"/>
    </xf>
    <xf numFmtId="0" fontId="22" fillId="14" borderId="19" xfId="0" applyFont="1" applyFill="1" applyBorder="1" applyAlignment="1">
      <alignment horizontal="right" vertical="center"/>
    </xf>
    <xf numFmtId="0" fontId="22" fillId="14" borderId="23" xfId="0" applyFont="1" applyFill="1" applyBorder="1" applyAlignment="1">
      <alignment horizontal="right" vertical="center"/>
    </xf>
    <xf numFmtId="0" fontId="22" fillId="14" borderId="20" xfId="0" applyFont="1" applyFill="1" applyBorder="1" applyAlignment="1">
      <alignment horizontal="right" vertical="center"/>
    </xf>
    <xf numFmtId="4" fontId="22" fillId="14" borderId="17" xfId="0" applyNumberFormat="1" applyFont="1" applyFill="1" applyBorder="1" applyAlignment="1">
      <alignment horizontal="center" wrapText="1"/>
    </xf>
    <xf numFmtId="4" fontId="22" fillId="14" borderId="23" xfId="0" applyNumberFormat="1" applyFont="1" applyFill="1" applyBorder="1" applyAlignment="1">
      <alignment horizontal="center" wrapText="1"/>
    </xf>
    <xf numFmtId="4" fontId="22" fillId="14" borderId="20" xfId="0" applyNumberFormat="1" applyFont="1" applyFill="1" applyBorder="1" applyAlignment="1">
      <alignment horizontal="center" wrapText="1"/>
    </xf>
    <xf numFmtId="0" fontId="22" fillId="13" borderId="0" xfId="0" applyFont="1" applyFill="1" applyAlignment="1">
      <alignment horizontal="center"/>
    </xf>
    <xf numFmtId="0" fontId="22" fillId="14" borderId="17" xfId="0" applyFont="1" applyFill="1" applyBorder="1" applyAlignment="1">
      <alignment horizontal="center" wrapText="1"/>
    </xf>
    <xf numFmtId="0" fontId="22" fillId="14" borderId="23" xfId="0" applyFont="1" applyFill="1" applyBorder="1" applyAlignment="1">
      <alignment horizontal="center" wrapText="1"/>
    </xf>
    <xf numFmtId="0" fontId="22" fillId="14" borderId="20" xfId="0" applyFont="1" applyFill="1" applyBorder="1" applyAlignment="1">
      <alignment horizontal="center" wrapText="1"/>
    </xf>
    <xf numFmtId="0" fontId="22" fillId="14" borderId="25" xfId="0" applyFont="1" applyFill="1" applyBorder="1" applyAlignment="1">
      <alignment horizontal="right" vertical="center"/>
    </xf>
    <xf numFmtId="0" fontId="22" fillId="14" borderId="26" xfId="0" applyFont="1" applyFill="1" applyBorder="1" applyAlignment="1">
      <alignment horizontal="right" vertical="center"/>
    </xf>
    <xf numFmtId="0" fontId="22" fillId="14" borderId="17" xfId="0" applyFont="1" applyFill="1" applyBorder="1" applyAlignment="1">
      <alignment horizontal="right" vertical="center"/>
    </xf>
    <xf numFmtId="0" fontId="23" fillId="14" borderId="19" xfId="0" applyFont="1" applyFill="1" applyBorder="1" applyAlignment="1">
      <alignment horizontal="right" vertical="center"/>
    </xf>
    <xf numFmtId="0" fontId="23" fillId="14" borderId="17" xfId="0" applyFont="1" applyFill="1" applyBorder="1" applyAlignment="1">
      <alignment horizontal="right" vertical="center"/>
    </xf>
    <xf numFmtId="0" fontId="23" fillId="13" borderId="0" xfId="0" applyFont="1" applyFill="1" applyAlignment="1">
      <alignment horizontal="center" vertical="center" wrapText="1"/>
    </xf>
    <xf numFmtId="0" fontId="22" fillId="14" borderId="21" xfId="0" applyFont="1" applyFill="1" applyBorder="1" applyAlignment="1">
      <alignment horizontal="center" wrapText="1"/>
    </xf>
    <xf numFmtId="0" fontId="22" fillId="14" borderId="22" xfId="0" applyFont="1" applyFill="1" applyBorder="1" applyAlignment="1">
      <alignment horizontal="center" wrapText="1"/>
    </xf>
    <xf numFmtId="0" fontId="22" fillId="14" borderId="18"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1" fillId="2" borderId="0" xfId="0" applyFont="1" applyFill="1" applyAlignment="1">
      <alignment horizontal="center"/>
    </xf>
    <xf numFmtId="0" fontId="2" fillId="2" borderId="1" xfId="0" applyFont="1" applyFill="1" applyBorder="1" applyAlignment="1">
      <alignment horizontal="center"/>
    </xf>
    <xf numFmtId="0" fontId="7" fillId="10" borderId="1" xfId="0" applyFont="1" applyFill="1" applyBorder="1" applyAlignment="1">
      <alignment horizontal="center"/>
    </xf>
    <xf numFmtId="0" fontId="7" fillId="0" borderId="1" xfId="0" applyFont="1" applyBorder="1" applyAlignment="1">
      <alignment horizontal="center"/>
    </xf>
    <xf numFmtId="0" fontId="8" fillId="11" borderId="17"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11" borderId="1" xfId="0" applyFont="1" applyFill="1" applyBorder="1" applyAlignment="1">
      <alignment horizontal="center" vertical="center"/>
    </xf>
    <xf numFmtId="0" fontId="8" fillId="11" borderId="18"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8" fillId="11" borderId="20" xfId="0" applyFont="1" applyFill="1" applyBorder="1" applyAlignment="1">
      <alignment horizontal="center" vertical="center" wrapText="1"/>
    </xf>
    <xf numFmtId="4" fontId="8" fillId="11" borderId="17" xfId="0" applyNumberFormat="1" applyFont="1" applyFill="1" applyBorder="1" applyAlignment="1">
      <alignment horizontal="center" vertical="center" wrapText="1"/>
    </xf>
    <xf numFmtId="4" fontId="8" fillId="11" borderId="23" xfId="0" applyNumberFormat="1" applyFont="1" applyFill="1" applyBorder="1" applyAlignment="1">
      <alignment horizontal="center" vertical="center" wrapText="1"/>
    </xf>
    <xf numFmtId="4" fontId="8" fillId="11" borderId="22"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11" borderId="19" xfId="0" applyFont="1" applyFill="1" applyBorder="1" applyAlignment="1">
      <alignment horizontal="center" vertical="center" wrapText="1"/>
    </xf>
    <xf numFmtId="0" fontId="8" fillId="11" borderId="19" xfId="0" applyFont="1" applyFill="1" applyBorder="1" applyAlignment="1">
      <alignment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9" fillId="12" borderId="21" xfId="0" applyFont="1" applyFill="1" applyBorder="1" applyAlignment="1">
      <alignment vertical="center"/>
    </xf>
    <xf numFmtId="0" fontId="9" fillId="12" borderId="28" xfId="0" applyFont="1" applyFill="1" applyBorder="1" applyAlignment="1">
      <alignment vertical="center"/>
    </xf>
    <xf numFmtId="0" fontId="9" fillId="12" borderId="25" xfId="0" applyFont="1" applyFill="1" applyBorder="1" applyAlignment="1">
      <alignment vertical="center"/>
    </xf>
    <xf numFmtId="0" fontId="9" fillId="12" borderId="21" xfId="0" applyFont="1" applyFill="1" applyBorder="1" applyAlignment="1">
      <alignment horizontal="right" vertical="center"/>
    </xf>
    <xf numFmtId="0" fontId="9" fillId="12" borderId="28" xfId="0" applyFont="1" applyFill="1" applyBorder="1" applyAlignment="1">
      <alignment horizontal="right" vertical="center"/>
    </xf>
    <xf numFmtId="0" fontId="9" fillId="12" borderId="25" xfId="0" applyFont="1" applyFill="1" applyBorder="1" applyAlignment="1">
      <alignment horizontal="right" vertical="center"/>
    </xf>
    <xf numFmtId="3" fontId="8" fillId="13" borderId="19" xfId="0" applyNumberFormat="1" applyFont="1" applyFill="1" applyBorder="1" applyAlignment="1">
      <alignment horizontal="center" vertical="center"/>
    </xf>
  </cellXfs>
  <cellStyles count="4">
    <cellStyle name="Hyperlink" xfId="3" xr:uid="{F014B398-EDB8-49AE-BE26-05D22FDFF857}"/>
    <cellStyle name="Moeda" xfId="2" builtinId="4"/>
    <cellStyle name="Normal" xfId="0" builtinId="0"/>
    <cellStyle name="Porcentagem" xfId="1" builtinId="5"/>
  </cellStyles>
  <dxfs count="6">
    <dxf>
      <font>
        <color rgb="FF9C0006"/>
      </font>
      <fill>
        <patternFill>
          <bgColor rgb="FFFFC7CE"/>
        </patternFill>
      </fill>
    </dxf>
    <dxf>
      <font>
        <color rgb="FF9C0006"/>
      </font>
      <fill>
        <patternFill>
          <bgColor rgb="FFFFC7CE"/>
        </patternFill>
      </fill>
    </dxf>
    <dxf>
      <fill>
        <patternFill patternType="solid">
          <bgColor rgb="FFFFFF00"/>
        </patternFill>
      </fill>
    </dxf>
    <dxf>
      <font>
        <color rgb="FF9C0006"/>
      </font>
      <fill>
        <patternFill>
          <bgColor rgb="FFFFC7CE"/>
        </patternFill>
      </fill>
    </dxf>
    <dxf>
      <font>
        <color rgb="FF9C0006"/>
      </font>
      <fill>
        <patternFill>
          <bgColor rgb="FFFFC7CE"/>
        </patternFill>
      </fill>
    </dxf>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A75B6-7F57-49EA-BE3A-2FA6E0820A76}">
  <sheetPr>
    <pageSetUpPr fitToPage="1"/>
  </sheetPr>
  <dimension ref="A1:J8"/>
  <sheetViews>
    <sheetView workbookViewId="0">
      <selection activeCell="G7" sqref="G7"/>
    </sheetView>
  </sheetViews>
  <sheetFormatPr defaultRowHeight="12.75"/>
  <cols>
    <col min="3" max="3" width="32.42578125" customWidth="1"/>
    <col min="4" max="4" width="20.5703125" customWidth="1"/>
    <col min="5" max="5" width="10.7109375" customWidth="1"/>
    <col min="6" max="6" width="17" customWidth="1"/>
    <col min="7" max="7" width="18.42578125" customWidth="1"/>
    <col min="8" max="8" width="13.42578125" customWidth="1"/>
    <col min="9" max="9" width="22.140625" customWidth="1"/>
    <col min="10" max="10" width="14.140625" bestFit="1" customWidth="1"/>
  </cols>
  <sheetData>
    <row r="1" spans="1:10">
      <c r="A1" s="199" t="s">
        <v>0</v>
      </c>
      <c r="B1" s="199"/>
      <c r="C1" s="199"/>
      <c r="D1" s="199"/>
      <c r="E1" s="199"/>
      <c r="F1" s="199"/>
      <c r="G1" s="199"/>
    </row>
    <row r="2" spans="1:10">
      <c r="A2" s="50" t="s">
        <v>1</v>
      </c>
      <c r="B2" s="50" t="s">
        <v>2</v>
      </c>
      <c r="C2" s="50" t="s">
        <v>3</v>
      </c>
      <c r="D2" s="50" t="s">
        <v>4</v>
      </c>
      <c r="E2" s="50" t="s">
        <v>5</v>
      </c>
      <c r="F2" s="50" t="s">
        <v>6</v>
      </c>
      <c r="G2" s="8" t="s">
        <v>7</v>
      </c>
    </row>
    <row r="3" spans="1:10">
      <c r="A3" s="198">
        <v>1</v>
      </c>
      <c r="B3" s="44">
        <v>1</v>
      </c>
      <c r="C3" s="103" t="s">
        <v>8</v>
      </c>
      <c r="D3" s="49" t="s">
        <v>9</v>
      </c>
      <c r="E3" s="44">
        <f>98628*2</f>
        <v>197256</v>
      </c>
      <c r="F3" s="104">
        <f>'Valor unit por m2'!G25</f>
        <v>6.3656038341241841</v>
      </c>
      <c r="G3" s="104">
        <f>E3*F3</f>
        <v>1255653.549904</v>
      </c>
      <c r="J3" s="52"/>
    </row>
    <row r="4" spans="1:10">
      <c r="A4" s="198"/>
      <c r="B4" s="44">
        <v>2</v>
      </c>
      <c r="C4" s="45" t="s">
        <v>10</v>
      </c>
      <c r="D4" s="49" t="s">
        <v>11</v>
      </c>
      <c r="E4" s="44">
        <f>134508*2</f>
        <v>269016</v>
      </c>
      <c r="F4" s="104">
        <f>'Valor unit por m2'!G26</f>
        <v>1.1309567545920443</v>
      </c>
      <c r="G4" s="104">
        <f t="shared" ref="G4:G6" si="0">E4*F4</f>
        <v>304245.46229333337</v>
      </c>
    </row>
    <row r="5" spans="1:10">
      <c r="A5" s="198"/>
      <c r="B5" s="44">
        <v>3</v>
      </c>
      <c r="C5" s="45" t="s">
        <v>12</v>
      </c>
      <c r="D5" s="49" t="s">
        <v>13</v>
      </c>
      <c r="E5" s="44">
        <f>6600*2</f>
        <v>13200</v>
      </c>
      <c r="F5" s="104">
        <f>'Valor unit por m2'!G27</f>
        <v>1.1626861177100414</v>
      </c>
      <c r="G5" s="104">
        <f t="shared" si="0"/>
        <v>15347.456753772547</v>
      </c>
    </row>
    <row r="6" spans="1:10">
      <c r="A6" s="198"/>
      <c r="B6" s="44">
        <v>4</v>
      </c>
      <c r="C6" s="45" t="s">
        <v>14</v>
      </c>
      <c r="D6" s="49" t="s">
        <v>15</v>
      </c>
      <c r="E6" s="44">
        <f>1428*2</f>
        <v>2856</v>
      </c>
      <c r="F6" s="104">
        <f>'Valor unit por m2'!G28</f>
        <v>11.583066666666667</v>
      </c>
      <c r="G6" s="104">
        <f t="shared" si="0"/>
        <v>33081.238400000002</v>
      </c>
    </row>
    <row r="7" spans="1:10">
      <c r="A7" s="197" t="s">
        <v>16</v>
      </c>
      <c r="B7" s="197"/>
      <c r="C7" s="197"/>
      <c r="D7" s="197"/>
      <c r="E7" s="197"/>
      <c r="F7" s="197"/>
      <c r="G7" s="105">
        <f>SUM(G3:G6)</f>
        <v>1608327.7073511058</v>
      </c>
    </row>
    <row r="8" spans="1:10">
      <c r="A8" s="197" t="s">
        <v>17</v>
      </c>
      <c r="B8" s="199"/>
      <c r="C8" s="199"/>
      <c r="D8" s="199"/>
      <c r="E8" s="199"/>
      <c r="F8" s="199"/>
      <c r="G8" s="105">
        <f>G7/24</f>
        <v>67013.654472962735</v>
      </c>
    </row>
  </sheetData>
  <mergeCells count="4">
    <mergeCell ref="A7:F7"/>
    <mergeCell ref="A3:A6"/>
    <mergeCell ref="A8:F8"/>
    <mergeCell ref="A1:G1"/>
  </mergeCells>
  <phoneticPr fontId="11" type="noConversion"/>
  <pageMargins left="0.511811024" right="0.511811024" top="0.78740157499999996" bottom="0.78740157499999996" header="0.31496062000000002" footer="0.31496062000000002"/>
  <pageSetup paperSize="9"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425D6-527C-47C6-9E04-5310CCDA0809}">
  <dimension ref="A1:O64"/>
  <sheetViews>
    <sheetView workbookViewId="0">
      <selection activeCell="H5" sqref="H5"/>
    </sheetView>
  </sheetViews>
  <sheetFormatPr defaultRowHeight="12.75"/>
  <cols>
    <col min="1" max="1" width="46.28515625" customWidth="1"/>
    <col min="2" max="2" width="19.42578125" customWidth="1"/>
    <col min="3" max="3" width="19.85546875" customWidth="1"/>
    <col min="4" max="4" width="21" style="63" customWidth="1"/>
    <col min="5" max="5" width="23" style="63" customWidth="1"/>
    <col min="7" max="7" width="16.28515625" customWidth="1"/>
    <col min="8" max="8" width="14.5703125" customWidth="1"/>
    <col min="9" max="9" width="13.7109375" customWidth="1"/>
    <col min="10" max="10" width="16" customWidth="1"/>
    <col min="11" max="11" width="13.28515625" bestFit="1" customWidth="1"/>
    <col min="12" max="12" width="9.140625" style="54"/>
    <col min="13" max="13" width="12" bestFit="1" customWidth="1"/>
  </cols>
  <sheetData>
    <row r="1" spans="1:11" ht="15">
      <c r="A1" s="282" t="s">
        <v>383</v>
      </c>
      <c r="B1" s="282"/>
      <c r="C1" s="282"/>
      <c r="D1" s="282"/>
      <c r="E1" s="282"/>
    </row>
    <row r="2" spans="1:11" ht="15">
      <c r="A2" s="282" t="s">
        <v>384</v>
      </c>
      <c r="B2" s="282"/>
      <c r="C2" s="282"/>
      <c r="D2" s="282"/>
      <c r="E2" s="282"/>
    </row>
    <row r="3" spans="1:11" ht="30">
      <c r="A3" s="55" t="s">
        <v>385</v>
      </c>
      <c r="B3" s="56" t="s">
        <v>386</v>
      </c>
      <c r="C3" s="56" t="s">
        <v>387</v>
      </c>
      <c r="D3" s="57" t="s">
        <v>388</v>
      </c>
      <c r="E3" s="57" t="s">
        <v>389</v>
      </c>
    </row>
    <row r="4" spans="1:11">
      <c r="A4" s="199" t="s">
        <v>368</v>
      </c>
      <c r="B4" s="199"/>
      <c r="C4" s="199"/>
      <c r="D4" s="199"/>
      <c r="E4" s="199"/>
      <c r="H4" t="s">
        <v>390</v>
      </c>
    </row>
    <row r="5" spans="1:11">
      <c r="A5" s="5" t="s">
        <v>200</v>
      </c>
      <c r="B5" s="58">
        <f>H5</f>
        <v>2.564102564102564E-5</v>
      </c>
      <c r="C5" s="59">
        <v>0.30530000000000002</v>
      </c>
      <c r="D5" s="60">
        <v>3285.42</v>
      </c>
      <c r="E5" s="60">
        <f>ROUND(B5*D5,2)</f>
        <v>0.08</v>
      </c>
      <c r="G5" s="61">
        <f>0.08/2379.08</f>
        <v>3.3626443835432185E-5</v>
      </c>
      <c r="H5" s="62">
        <f>1/(30*1300)</f>
        <v>2.564102564102564E-5</v>
      </c>
    </row>
    <row r="6" spans="1:11">
      <c r="A6" s="5" t="s">
        <v>391</v>
      </c>
      <c r="B6" s="58">
        <f>H6</f>
        <v>7.6923076923076923E-4</v>
      </c>
      <c r="C6" s="5">
        <v>9.1577000000000002</v>
      </c>
      <c r="D6" s="60">
        <v>4346.63</v>
      </c>
      <c r="E6" s="60">
        <f>ROUND(B6*D6,2)</f>
        <v>3.34</v>
      </c>
      <c r="G6">
        <f>1.98/2577.09</f>
        <v>7.6830844091591672E-4</v>
      </c>
      <c r="H6">
        <f>1/1300</f>
        <v>7.6923076923076923E-4</v>
      </c>
      <c r="I6">
        <f>1/2600</f>
        <v>3.8461538461538462E-4</v>
      </c>
      <c r="J6" s="63"/>
      <c r="K6" s="63"/>
    </row>
    <row r="7" spans="1:11" ht="15">
      <c r="A7" s="199" t="s">
        <v>392</v>
      </c>
      <c r="B7" s="199"/>
      <c r="C7" s="199"/>
      <c r="D7" s="199"/>
      <c r="E7" s="64">
        <f>SUM(E5:E6)</f>
        <v>3.42</v>
      </c>
    </row>
    <row r="9" spans="1:11">
      <c r="A9" s="199" t="s">
        <v>369</v>
      </c>
      <c r="B9" s="199"/>
      <c r="C9" s="199"/>
      <c r="D9" s="199"/>
      <c r="E9" s="199"/>
    </row>
    <row r="10" spans="1:11">
      <c r="A10" s="5" t="s">
        <v>200</v>
      </c>
      <c r="B10" s="58">
        <f>H10</f>
        <v>1.4492753623188405E-5</v>
      </c>
      <c r="C10" s="5">
        <v>0.12620000000000001</v>
      </c>
      <c r="D10" s="60">
        <f>D5</f>
        <v>3285.42</v>
      </c>
      <c r="E10" s="60">
        <f>ROUND(B10*D10,2)</f>
        <v>0.05</v>
      </c>
      <c r="G10" s="65">
        <f>0.03/2449.93</f>
        <v>1.2245247823407201E-5</v>
      </c>
      <c r="H10" s="65">
        <f>1/(30*2300)</f>
        <v>1.4492753623188405E-5</v>
      </c>
    </row>
    <row r="11" spans="1:11">
      <c r="A11" s="5" t="s">
        <v>391</v>
      </c>
      <c r="B11" s="66">
        <f>H11</f>
        <v>4.3478260869565219E-4</v>
      </c>
      <c r="C11" s="5">
        <v>3.7848000000000002</v>
      </c>
      <c r="D11" s="60">
        <f>D6</f>
        <v>4346.63</v>
      </c>
      <c r="E11" s="60">
        <f>ROUND(B11*D11,2)</f>
        <v>1.89</v>
      </c>
      <c r="G11">
        <f>1.03/2577.09</f>
        <v>3.9967560310272439E-4</v>
      </c>
      <c r="H11">
        <f>1/2300</f>
        <v>4.3478260869565219E-4</v>
      </c>
      <c r="I11">
        <f>1/4600</f>
        <v>2.173913043478261E-4</v>
      </c>
      <c r="J11" s="63"/>
      <c r="K11" s="63"/>
    </row>
    <row r="12" spans="1:11" ht="15">
      <c r="A12" s="199" t="s">
        <v>393</v>
      </c>
      <c r="B12" s="199"/>
      <c r="C12" s="199"/>
      <c r="D12" s="199"/>
      <c r="E12" s="64">
        <f>ROUND(SUM(E10:E11),2)</f>
        <v>1.94</v>
      </c>
    </row>
    <row r="14" spans="1:11">
      <c r="A14" s="199" t="s">
        <v>394</v>
      </c>
      <c r="B14" s="199"/>
      <c r="C14" s="199"/>
      <c r="D14" s="199"/>
      <c r="E14" s="199"/>
    </row>
    <row r="15" spans="1:11">
      <c r="A15" s="5" t="s">
        <v>200</v>
      </c>
      <c r="B15" s="67">
        <f>J15</f>
        <v>4.3468574937106409E-6</v>
      </c>
      <c r="C15" s="5">
        <v>2.2000000000000001E-3</v>
      </c>
      <c r="D15" s="60">
        <f>D5</f>
        <v>3285.42</v>
      </c>
      <c r="E15" s="60">
        <f>ROUND(B15*D15,2)</f>
        <v>0.01</v>
      </c>
      <c r="G15" s="65">
        <f>0.01/2379.08</f>
        <v>4.2033054794290232E-6</v>
      </c>
      <c r="H15" s="65">
        <f>1/(30*650)</f>
        <v>5.1282051282051279E-5</v>
      </c>
      <c r="I15" s="61">
        <f>H15*16</f>
        <v>8.2051282051282047E-4</v>
      </c>
      <c r="J15" s="68">
        <f>I15*1/188.76</f>
        <v>4.3468574937106409E-6</v>
      </c>
    </row>
    <row r="16" spans="1:11">
      <c r="A16" s="5" t="s">
        <v>391</v>
      </c>
      <c r="B16" s="5">
        <f>J16</f>
        <v>1.3040572481131922E-4</v>
      </c>
      <c r="C16" s="5">
        <v>0.66400000000000003</v>
      </c>
      <c r="D16" s="60">
        <f>D6</f>
        <v>4346.63</v>
      </c>
      <c r="E16" s="60">
        <f>ROUND(B16*D16,2)</f>
        <v>0.56999999999999995</v>
      </c>
      <c r="G16">
        <f>0.26/2577.09</f>
        <v>1.0088898719097897E-4</v>
      </c>
      <c r="H16">
        <f>1/650</f>
        <v>1.5384615384615385E-3</v>
      </c>
      <c r="I16">
        <f>H16*16</f>
        <v>2.4615384615384615E-2</v>
      </c>
      <c r="J16">
        <f>I16*1/188.76</f>
        <v>1.3040572481131922E-4</v>
      </c>
    </row>
    <row r="17" spans="1:15" ht="15">
      <c r="A17" s="199" t="s">
        <v>393</v>
      </c>
      <c r="B17" s="199"/>
      <c r="C17" s="199"/>
      <c r="D17" s="199"/>
      <c r="E17" s="64">
        <f>SUM(E15:E16)</f>
        <v>0.57999999999999996</v>
      </c>
      <c r="M17" s="62"/>
    </row>
    <row r="19" spans="1:15" ht="15">
      <c r="A19" s="282" t="s">
        <v>395</v>
      </c>
      <c r="B19" s="282"/>
      <c r="C19" s="282"/>
      <c r="D19" s="282"/>
    </row>
    <row r="20" spans="1:15" ht="45">
      <c r="A20" s="55" t="s">
        <v>385</v>
      </c>
      <c r="B20" s="69" t="s">
        <v>396</v>
      </c>
      <c r="C20" s="55" t="s">
        <v>364</v>
      </c>
      <c r="D20" s="70" t="s">
        <v>397</v>
      </c>
    </row>
    <row r="21" spans="1:15">
      <c r="A21" s="5" t="s">
        <v>368</v>
      </c>
      <c r="B21" s="60">
        <f>E7</f>
        <v>3.42</v>
      </c>
      <c r="C21" s="19">
        <v>11905</v>
      </c>
      <c r="D21" s="60">
        <f>B21*C21</f>
        <v>40715.1</v>
      </c>
    </row>
    <row r="22" spans="1:15">
      <c r="A22" s="5" t="s">
        <v>369</v>
      </c>
      <c r="B22" s="60">
        <f>E12</f>
        <v>1.94</v>
      </c>
      <c r="C22" s="19">
        <v>8705</v>
      </c>
      <c r="D22" s="60">
        <f>B22*C22</f>
        <v>16887.7</v>
      </c>
    </row>
    <row r="23" spans="1:15">
      <c r="A23" s="5" t="s">
        <v>394</v>
      </c>
      <c r="B23" s="60">
        <f>E17</f>
        <v>0.57999999999999996</v>
      </c>
      <c r="C23" s="19">
        <v>516</v>
      </c>
      <c r="D23" s="60">
        <f>B23*C23</f>
        <v>299.27999999999997</v>
      </c>
    </row>
    <row r="24" spans="1:15" ht="15">
      <c r="A24" s="283" t="s">
        <v>398</v>
      </c>
      <c r="B24" s="283"/>
      <c r="C24" s="283"/>
      <c r="D24" s="64">
        <f>SUM(D21:D23)</f>
        <v>57902.080000000002</v>
      </c>
      <c r="E24" s="63">
        <v>39071.25</v>
      </c>
      <c r="K24">
        <v>2</v>
      </c>
      <c r="L24" s="54" t="s">
        <v>399</v>
      </c>
      <c r="M24" s="62">
        <f>1/2000</f>
        <v>5.0000000000000001E-4</v>
      </c>
      <c r="N24">
        <f>M24*2474.86</f>
        <v>1.23743</v>
      </c>
      <c r="O24">
        <f>N24*4000</f>
        <v>4949.72</v>
      </c>
    </row>
    <row r="25" spans="1:15" ht="15">
      <c r="A25" s="283" t="s">
        <v>400</v>
      </c>
      <c r="B25" s="283"/>
      <c r="C25" s="283"/>
      <c r="D25" s="64">
        <f>D24*12</f>
        <v>694824.95999999996</v>
      </c>
      <c r="K25">
        <v>2</v>
      </c>
      <c r="L25" s="54" t="s">
        <v>401</v>
      </c>
      <c r="M25">
        <f>1/3200</f>
        <v>3.1250000000000001E-4</v>
      </c>
      <c r="N25">
        <f>M25*2474.86</f>
        <v>0.7733937500000001</v>
      </c>
      <c r="O25">
        <f>N25*8000</f>
        <v>6187.1500000000005</v>
      </c>
    </row>
    <row r="26" spans="1:15" ht="15">
      <c r="A26" s="283" t="s">
        <v>402</v>
      </c>
      <c r="B26" s="283"/>
      <c r="C26" s="283"/>
      <c r="D26" s="64">
        <f>D24*60</f>
        <v>3474124.8000000003</v>
      </c>
      <c r="K26">
        <v>1</v>
      </c>
      <c r="L26" s="54" t="s">
        <v>403</v>
      </c>
      <c r="M26">
        <f>1/440</f>
        <v>2.2727272727272726E-3</v>
      </c>
      <c r="N26">
        <f>M26*16*M29*2474.86</f>
        <v>0.47676896106648181</v>
      </c>
      <c r="O26">
        <f>N26*440</f>
        <v>209.77834286925199</v>
      </c>
    </row>
    <row r="27" spans="1:15">
      <c r="O27">
        <f>SUM(O24:O26)</f>
        <v>11346.648342869254</v>
      </c>
    </row>
    <row r="29" spans="1:15" ht="15">
      <c r="A29" s="282" t="s">
        <v>404</v>
      </c>
      <c r="B29" s="282"/>
      <c r="C29" s="282"/>
      <c r="D29" s="282"/>
      <c r="E29" s="282"/>
      <c r="M29">
        <f>1/188.76</f>
        <v>5.2977325704598437E-3</v>
      </c>
    </row>
    <row r="30" spans="1:15" ht="15">
      <c r="A30" s="282" t="s">
        <v>384</v>
      </c>
      <c r="B30" s="282"/>
      <c r="C30" s="282"/>
      <c r="D30" s="282"/>
      <c r="E30" s="282"/>
      <c r="O30">
        <f>2474.86*5</f>
        <v>12374.300000000001</v>
      </c>
    </row>
    <row r="31" spans="1:15" ht="30">
      <c r="A31" s="55" t="s">
        <v>385</v>
      </c>
      <c r="B31" s="56" t="s">
        <v>386</v>
      </c>
      <c r="C31" s="56" t="s">
        <v>387</v>
      </c>
      <c r="D31" s="57" t="s">
        <v>388</v>
      </c>
      <c r="E31" s="57" t="s">
        <v>389</v>
      </c>
    </row>
    <row r="32" spans="1:15">
      <c r="A32" s="199" t="s">
        <v>368</v>
      </c>
      <c r="B32" s="199"/>
      <c r="C32" s="199"/>
      <c r="D32" s="199"/>
      <c r="E32" s="199"/>
    </row>
    <row r="33" spans="1:11">
      <c r="A33" s="5" t="s">
        <v>200</v>
      </c>
      <c r="B33" s="67">
        <f>1/(30*1300)</f>
        <v>2.564102564102564E-5</v>
      </c>
      <c r="C33" s="5">
        <v>0.30530000000000002</v>
      </c>
      <c r="D33" s="60">
        <v>3028.7781555194056</v>
      </c>
      <c r="E33" s="60">
        <f>(B33*D33)</f>
        <v>7.7660978346651421E-2</v>
      </c>
      <c r="G33" s="61">
        <f>0.07/2449.93</f>
        <v>2.857224492128347E-5</v>
      </c>
      <c r="K33" s="71">
        <v>2.5641000000000001E-5</v>
      </c>
    </row>
    <row r="34" spans="1:11">
      <c r="A34" s="5" t="s">
        <v>391</v>
      </c>
      <c r="B34" s="5">
        <f>1/1300</f>
        <v>7.6923076923076923E-4</v>
      </c>
      <c r="C34" s="5">
        <v>9.1577000000000002</v>
      </c>
      <c r="D34" s="60">
        <v>3155.8958182980618</v>
      </c>
      <c r="E34" s="60">
        <f>(B34*D34)</f>
        <v>2.4276121679215859</v>
      </c>
      <c r="G34">
        <f>2.11/2639.66</f>
        <v>7.9934537023707594E-4</v>
      </c>
    </row>
    <row r="35" spans="1:11" ht="15">
      <c r="A35" s="199" t="s">
        <v>392</v>
      </c>
      <c r="B35" s="199"/>
      <c r="C35" s="199"/>
      <c r="D35" s="199"/>
      <c r="E35" s="64">
        <f>SUM(E33:E34)</f>
        <v>2.5052731462682374</v>
      </c>
    </row>
    <row r="37" spans="1:11">
      <c r="A37" s="199" t="s">
        <v>369</v>
      </c>
      <c r="B37" s="199"/>
      <c r="C37" s="199"/>
      <c r="D37" s="199"/>
      <c r="E37" s="199"/>
    </row>
    <row r="38" spans="1:11">
      <c r="A38" s="5" t="s">
        <v>200</v>
      </c>
      <c r="B38" s="67">
        <f>1/(30*2300)</f>
        <v>1.4492753623188405E-5</v>
      </c>
      <c r="C38" s="5">
        <v>0.1166</v>
      </c>
      <c r="D38" s="60">
        <f>D33</f>
        <v>3028.7781555194056</v>
      </c>
      <c r="E38" s="60">
        <f>ROUND(B38*D38,2)</f>
        <v>0.04</v>
      </c>
      <c r="G38" s="61">
        <f>0.04/2449.93</f>
        <v>1.6326997097876266E-5</v>
      </c>
    </row>
    <row r="39" spans="1:11">
      <c r="A39" s="5" t="s">
        <v>391</v>
      </c>
      <c r="B39" s="5">
        <f>1/2300</f>
        <v>4.3478260869565219E-4</v>
      </c>
      <c r="C39" s="5">
        <v>3.4977999999999998</v>
      </c>
      <c r="D39" s="60">
        <f>D34</f>
        <v>3155.8958182980618</v>
      </c>
      <c r="E39" s="60">
        <f>(B39*D39)</f>
        <v>1.3721286166513313</v>
      </c>
      <c r="G39">
        <f>1.14/2639.66</f>
        <v>4.318738019290363E-4</v>
      </c>
    </row>
    <row r="40" spans="1:11" ht="15">
      <c r="A40" s="199" t="s">
        <v>393</v>
      </c>
      <c r="B40" s="199"/>
      <c r="C40" s="199"/>
      <c r="D40" s="199"/>
      <c r="E40" s="64">
        <f>SUM(E38:E39)</f>
        <v>1.4121286166513314</v>
      </c>
    </row>
    <row r="42" spans="1:11">
      <c r="A42" s="199" t="s">
        <v>394</v>
      </c>
      <c r="B42" s="199"/>
      <c r="C42" s="199"/>
      <c r="D42" s="199"/>
      <c r="E42" s="199"/>
    </row>
    <row r="43" spans="1:11">
      <c r="A43" s="5" t="s">
        <v>200</v>
      </c>
      <c r="B43" s="66">
        <f>((1/(30*650))*16*(1/191.4))</f>
        <v>4.2869008386249768E-6</v>
      </c>
      <c r="C43" s="5">
        <v>2.0999999999999999E-3</v>
      </c>
      <c r="D43" s="60">
        <f>D33</f>
        <v>3028.7781555194056</v>
      </c>
      <c r="E43" s="60">
        <f>(B43*D43)</f>
        <v>1.2984071614905149E-2</v>
      </c>
      <c r="G43" s="62">
        <f>0.01/2449.93</f>
        <v>4.0817492744690666E-6</v>
      </c>
    </row>
    <row r="44" spans="1:11">
      <c r="A44" s="5" t="s">
        <v>391</v>
      </c>
      <c r="B44" s="5">
        <f>(1/650)*16*(1/191.4)</f>
        <v>1.2860702515874931E-4</v>
      </c>
      <c r="C44" s="5">
        <v>6.2799999999999995E-2</v>
      </c>
      <c r="D44" s="60">
        <f>D34</f>
        <v>3155.8958182980618</v>
      </c>
      <c r="E44" s="60">
        <f>(B44*D44)</f>
        <v>0.40587037290225059</v>
      </c>
      <c r="G44">
        <f>0.34/2639.66</f>
        <v>1.288044672419933E-4</v>
      </c>
    </row>
    <row r="45" spans="1:11" ht="15">
      <c r="A45" s="199" t="s">
        <v>393</v>
      </c>
      <c r="B45" s="199"/>
      <c r="C45" s="199"/>
      <c r="D45" s="199"/>
      <c r="E45" s="64">
        <f>SUM(E43:E44)</f>
        <v>0.41885444451715576</v>
      </c>
      <c r="J45">
        <v>190.92</v>
      </c>
    </row>
    <row r="46" spans="1:11">
      <c r="J46">
        <v>26310.05</v>
      </c>
    </row>
    <row r="47" spans="1:11" ht="15">
      <c r="A47" s="282" t="s">
        <v>395</v>
      </c>
      <c r="B47" s="282"/>
      <c r="C47" s="282"/>
      <c r="D47" s="282"/>
      <c r="J47">
        <v>10881.25</v>
      </c>
    </row>
    <row r="48" spans="1:11" ht="25.5">
      <c r="A48" s="72" t="s">
        <v>385</v>
      </c>
      <c r="B48" s="73" t="s">
        <v>396</v>
      </c>
      <c r="C48" s="72" t="s">
        <v>364</v>
      </c>
      <c r="D48" s="74" t="s">
        <v>397</v>
      </c>
      <c r="J48">
        <f>SUM(J45:J47)</f>
        <v>37382.22</v>
      </c>
    </row>
    <row r="49" spans="1:10">
      <c r="A49" s="5" t="s">
        <v>368</v>
      </c>
      <c r="B49" s="60">
        <v>2.5099999999999998</v>
      </c>
      <c r="C49" s="19">
        <v>11905</v>
      </c>
      <c r="D49" s="60">
        <f>B49*C49</f>
        <v>29881.55</v>
      </c>
      <c r="J49" s="75"/>
    </row>
    <row r="50" spans="1:10">
      <c r="A50" s="5" t="s">
        <v>369</v>
      </c>
      <c r="B50" s="60">
        <v>1.41</v>
      </c>
      <c r="C50" s="19">
        <v>8705</v>
      </c>
      <c r="D50" s="60">
        <f>(B50*C50)</f>
        <v>12274.05</v>
      </c>
    </row>
    <row r="51" spans="1:10">
      <c r="A51" s="5" t="s">
        <v>394</v>
      </c>
      <c r="B51" s="60">
        <v>0.42</v>
      </c>
      <c r="C51" s="19">
        <v>516</v>
      </c>
      <c r="D51" s="60">
        <f>B51*C51</f>
        <v>216.72</v>
      </c>
    </row>
    <row r="52" spans="1:10">
      <c r="A52" s="199" t="s">
        <v>398</v>
      </c>
      <c r="B52" s="199"/>
      <c r="C52" s="199"/>
      <c r="D52" s="60">
        <f>SUM(D49:D51)</f>
        <v>42372.32</v>
      </c>
      <c r="E52" s="76" t="s">
        <v>405</v>
      </c>
      <c r="G52">
        <f>(32762.12/31980.45)-1</f>
        <v>2.4442120107753373E-2</v>
      </c>
    </row>
    <row r="53" spans="1:10">
      <c r="A53" s="199" t="s">
        <v>400</v>
      </c>
      <c r="B53" s="199"/>
      <c r="C53" s="199"/>
      <c r="D53" s="60">
        <f>D52*12</f>
        <v>508467.83999999997</v>
      </c>
      <c r="E53" s="37">
        <f>(D52/E24)-1</f>
        <v>8.44884665834853E-2</v>
      </c>
    </row>
    <row r="54" spans="1:10">
      <c r="A54" s="199" t="s">
        <v>402</v>
      </c>
      <c r="B54" s="199"/>
      <c r="C54" s="199"/>
      <c r="D54" s="60">
        <f>D52*60</f>
        <v>2542339.2000000002</v>
      </c>
    </row>
    <row r="57" spans="1:10" ht="15">
      <c r="A57" s="282" t="s">
        <v>406</v>
      </c>
      <c r="B57" s="282"/>
      <c r="C57" s="282"/>
      <c r="D57" s="282"/>
    </row>
    <row r="58" spans="1:10" ht="25.5">
      <c r="A58" s="72" t="s">
        <v>385</v>
      </c>
      <c r="B58" s="73" t="s">
        <v>396</v>
      </c>
      <c r="C58" s="72" t="s">
        <v>364</v>
      </c>
      <c r="D58" s="74" t="s">
        <v>397</v>
      </c>
    </row>
    <row r="59" spans="1:10">
      <c r="A59" s="5" t="s">
        <v>368</v>
      </c>
      <c r="B59" s="60">
        <v>2.1800000000000002</v>
      </c>
      <c r="C59" s="19">
        <v>11905</v>
      </c>
      <c r="D59" s="60">
        <v>25949.41</v>
      </c>
    </row>
    <row r="60" spans="1:10">
      <c r="A60" s="5" t="s">
        <v>369</v>
      </c>
      <c r="B60" s="60">
        <v>1.23</v>
      </c>
      <c r="C60" s="19">
        <v>8705</v>
      </c>
      <c r="D60" s="60">
        <v>10724.63</v>
      </c>
    </row>
    <row r="61" spans="1:10">
      <c r="A61" s="5" t="s">
        <v>394</v>
      </c>
      <c r="B61" s="60">
        <v>0.36</v>
      </c>
      <c r="C61" s="19">
        <v>516</v>
      </c>
      <c r="D61" s="60">
        <v>188.04</v>
      </c>
      <c r="E61" s="76" t="s">
        <v>405</v>
      </c>
    </row>
    <row r="62" spans="1:10">
      <c r="A62" s="199" t="s">
        <v>398</v>
      </c>
      <c r="B62" s="199"/>
      <c r="C62" s="199"/>
      <c r="D62" s="60">
        <f>SUM(D59:D61)</f>
        <v>36862.080000000002</v>
      </c>
      <c r="E62" s="37">
        <f>(D62/D24)-1</f>
        <v>-0.36337209302325579</v>
      </c>
    </row>
    <row r="63" spans="1:10">
      <c r="A63" s="199" t="s">
        <v>400</v>
      </c>
      <c r="B63" s="199"/>
      <c r="C63" s="199"/>
      <c r="D63" s="60">
        <f>D62*12</f>
        <v>442344.96000000002</v>
      </c>
    </row>
    <row r="64" spans="1:10">
      <c r="A64" s="199" t="s">
        <v>402</v>
      </c>
      <c r="B64" s="199"/>
      <c r="C64" s="199"/>
      <c r="D64" s="60">
        <f>D62*60</f>
        <v>2211724.8000000003</v>
      </c>
    </row>
  </sheetData>
  <mergeCells count="28">
    <mergeCell ref="A57:D57"/>
    <mergeCell ref="A62:C62"/>
    <mergeCell ref="A63:C63"/>
    <mergeCell ref="A64:C64"/>
    <mergeCell ref="A42:E42"/>
    <mergeCell ref="A45:D45"/>
    <mergeCell ref="A47:D47"/>
    <mergeCell ref="A52:C52"/>
    <mergeCell ref="A53:C53"/>
    <mergeCell ref="A54:C54"/>
    <mergeCell ref="A40:D40"/>
    <mergeCell ref="A14:E14"/>
    <mergeCell ref="A17:D17"/>
    <mergeCell ref="A19:D19"/>
    <mergeCell ref="A24:C24"/>
    <mergeCell ref="A25:C25"/>
    <mergeCell ref="A26:C26"/>
    <mergeCell ref="A29:E29"/>
    <mergeCell ref="A30:E30"/>
    <mergeCell ref="A32:E32"/>
    <mergeCell ref="A35:D35"/>
    <mergeCell ref="A37:E37"/>
    <mergeCell ref="A12:D12"/>
    <mergeCell ref="A1:E1"/>
    <mergeCell ref="A2:E2"/>
    <mergeCell ref="A4:E4"/>
    <mergeCell ref="A7:D7"/>
    <mergeCell ref="A9:E9"/>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DFF4-C06C-4EF9-8CF8-5F2B90FD428A}">
  <sheetPr>
    <pageSetUpPr fitToPage="1"/>
  </sheetPr>
  <dimension ref="A1:AS28"/>
  <sheetViews>
    <sheetView topLeftCell="C1" workbookViewId="0">
      <selection activeCell="C1" sqref="B1:AS28"/>
    </sheetView>
  </sheetViews>
  <sheetFormatPr defaultRowHeight="12.75"/>
  <cols>
    <col min="1" max="1" width="5.140625" customWidth="1"/>
    <col min="2" max="2" width="5.7109375" customWidth="1"/>
    <col min="3" max="3" width="9.7109375" customWidth="1"/>
    <col min="4" max="4" width="25.85546875" customWidth="1"/>
    <col min="5" max="5" width="10.28515625" customWidth="1"/>
    <col min="6" max="6" width="12.7109375" customWidth="1"/>
    <col min="7" max="7" width="12.28515625" customWidth="1"/>
    <col min="8" max="8" width="12.42578125" customWidth="1"/>
    <col min="9" max="9" width="10.28515625" customWidth="1"/>
    <col min="10" max="31" width="0" hidden="1" customWidth="1"/>
    <col min="32" max="35" width="10.28515625" customWidth="1"/>
    <col min="36" max="37" width="10.85546875" customWidth="1"/>
    <col min="38" max="40" width="10.28515625" customWidth="1"/>
    <col min="41" max="41" width="12.85546875" bestFit="1" customWidth="1"/>
    <col min="42" max="44" width="10.28515625" customWidth="1"/>
    <col min="45" max="45" width="18.7109375" bestFit="1" customWidth="1"/>
  </cols>
  <sheetData>
    <row r="1" spans="1:45">
      <c r="A1" s="284" t="s">
        <v>2</v>
      </c>
      <c r="B1" s="285" t="s">
        <v>385</v>
      </c>
      <c r="C1" s="286" t="s">
        <v>385</v>
      </c>
      <c r="D1" s="287" t="s">
        <v>407</v>
      </c>
      <c r="E1" s="287"/>
      <c r="F1" s="288" t="s">
        <v>408</v>
      </c>
      <c r="G1" s="298" t="s">
        <v>409</v>
      </c>
      <c r="H1" s="298" t="s">
        <v>410</v>
      </c>
      <c r="I1" s="299" t="s">
        <v>411</v>
      </c>
      <c r="J1" s="296" t="s">
        <v>412</v>
      </c>
      <c r="K1" s="297"/>
      <c r="L1" s="297"/>
      <c r="M1" s="297"/>
      <c r="N1" s="297"/>
      <c r="O1" s="297"/>
      <c r="P1" s="297"/>
      <c r="Q1" s="297"/>
      <c r="R1" s="297"/>
      <c r="S1" s="297"/>
      <c r="T1" s="297"/>
      <c r="U1" s="297"/>
      <c r="V1" s="297"/>
      <c r="W1" s="297"/>
      <c r="X1" s="297"/>
      <c r="Y1" s="297"/>
      <c r="Z1" s="297"/>
      <c r="AA1" s="297"/>
      <c r="AB1" s="300" t="s">
        <v>413</v>
      </c>
      <c r="AC1" s="302" t="s">
        <v>414</v>
      </c>
      <c r="AD1" s="303"/>
      <c r="AE1" s="303"/>
      <c r="AF1" s="298" t="s">
        <v>415</v>
      </c>
      <c r="AG1" s="298"/>
      <c r="AH1" s="298"/>
      <c r="AI1" s="298"/>
      <c r="AJ1" s="291" t="s">
        <v>416</v>
      </c>
      <c r="AK1" s="291"/>
      <c r="AL1" s="291"/>
      <c r="AM1" s="291"/>
      <c r="AN1" s="292"/>
      <c r="AO1" s="293" t="s">
        <v>417</v>
      </c>
      <c r="AP1" s="294"/>
      <c r="AQ1" s="294"/>
      <c r="AR1" s="294"/>
      <c r="AS1" s="295"/>
    </row>
    <row r="2" spans="1:45" ht="51">
      <c r="A2" s="284"/>
      <c r="B2" s="285"/>
      <c r="C2" s="286"/>
      <c r="D2" s="287"/>
      <c r="E2" s="287"/>
      <c r="F2" s="289"/>
      <c r="G2" s="298"/>
      <c r="H2" s="298"/>
      <c r="I2" s="299"/>
      <c r="J2" s="296" t="e">
        <f>#REF!</f>
        <v>#REF!</v>
      </c>
      <c r="K2" s="297"/>
      <c r="L2" s="297"/>
      <c r="M2" s="297" t="e">
        <f>#REF!</f>
        <v>#REF!</v>
      </c>
      <c r="N2" s="297"/>
      <c r="O2" s="297"/>
      <c r="P2" s="297" t="e">
        <f>#REF!</f>
        <v>#REF!</v>
      </c>
      <c r="Q2" s="297"/>
      <c r="R2" s="297"/>
      <c r="S2" s="297"/>
      <c r="T2" s="297"/>
      <c r="U2" s="297"/>
      <c r="V2" s="297" t="e">
        <f>#REF!</f>
        <v>#REF!</v>
      </c>
      <c r="W2" s="297"/>
      <c r="X2" s="297"/>
      <c r="Y2" s="297"/>
      <c r="Z2" s="297"/>
      <c r="AA2" s="297"/>
      <c r="AB2" s="301"/>
      <c r="AC2" s="304"/>
      <c r="AD2" s="305"/>
      <c r="AE2" s="301"/>
      <c r="AF2" s="79" t="s">
        <v>418</v>
      </c>
      <c r="AG2" s="79" t="s">
        <v>419</v>
      </c>
      <c r="AH2" s="79" t="s">
        <v>420</v>
      </c>
      <c r="AI2" s="79" t="s">
        <v>421</v>
      </c>
      <c r="AJ2" s="77" t="s">
        <v>422</v>
      </c>
      <c r="AK2" s="77" t="s">
        <v>423</v>
      </c>
      <c r="AL2" s="77" t="s">
        <v>424</v>
      </c>
      <c r="AM2" s="77" t="s">
        <v>425</v>
      </c>
      <c r="AN2" s="77" t="s">
        <v>201</v>
      </c>
      <c r="AO2" s="80" t="s">
        <v>44</v>
      </c>
      <c r="AP2" s="77" t="s">
        <v>426</v>
      </c>
      <c r="AQ2" s="80" t="s">
        <v>200</v>
      </c>
      <c r="AR2" s="81" t="s">
        <v>202</v>
      </c>
      <c r="AS2" s="80" t="s">
        <v>201</v>
      </c>
    </row>
    <row r="3" spans="1:45" ht="25.5">
      <c r="A3" s="309">
        <v>1</v>
      </c>
      <c r="B3" s="290" t="s">
        <v>8</v>
      </c>
      <c r="C3" s="82" t="s">
        <v>8</v>
      </c>
      <c r="D3" s="290" t="s">
        <v>427</v>
      </c>
      <c r="E3" s="290"/>
      <c r="F3" s="83" t="s">
        <v>428</v>
      </c>
      <c r="G3" s="84">
        <v>215</v>
      </c>
      <c r="H3" s="85" t="s">
        <v>429</v>
      </c>
      <c r="I3" s="84">
        <v>1200</v>
      </c>
      <c r="J3" s="84">
        <f t="shared" ref="J3:J12" si="0">J$100</f>
        <v>0</v>
      </c>
      <c r="K3" s="86" t="s">
        <v>430</v>
      </c>
      <c r="L3" s="87">
        <f>I3</f>
        <v>1200</v>
      </c>
      <c r="M3" s="84">
        <f t="shared" ref="M3:M12" si="1">M$100</f>
        <v>0</v>
      </c>
      <c r="N3" s="86" t="s">
        <v>430</v>
      </c>
      <c r="O3" s="87">
        <f>I3</f>
        <v>1200</v>
      </c>
      <c r="P3" s="84">
        <f t="shared" ref="P3:P12" si="2">P$100</f>
        <v>0</v>
      </c>
      <c r="Q3" s="88" t="s">
        <v>431</v>
      </c>
      <c r="R3" s="86">
        <f t="shared" ref="R3:R12" si="3">R$101</f>
        <v>0</v>
      </c>
      <c r="S3" s="86" t="s">
        <v>432</v>
      </c>
      <c r="T3" s="84">
        <f>I3</f>
        <v>1200</v>
      </c>
      <c r="U3" s="84" t="s">
        <v>433</v>
      </c>
      <c r="V3" s="84">
        <f t="shared" ref="V3:V12" si="4">V$100</f>
        <v>0</v>
      </c>
      <c r="W3" s="88" t="s">
        <v>431</v>
      </c>
      <c r="X3" s="86">
        <f t="shared" ref="X3:X12" si="5">X$101</f>
        <v>0</v>
      </c>
      <c r="Y3" s="88" t="s">
        <v>432</v>
      </c>
      <c r="Z3" s="84">
        <f>I3</f>
        <v>1200</v>
      </c>
      <c r="AA3" s="84" t="s">
        <v>433</v>
      </c>
      <c r="AB3" s="84">
        <f t="shared" ref="AB3:AC15" si="6">AB$100</f>
        <v>0</v>
      </c>
      <c r="AC3" s="88">
        <f t="shared" si="6"/>
        <v>0</v>
      </c>
      <c r="AD3" s="88" t="s">
        <v>430</v>
      </c>
      <c r="AE3" s="89">
        <f t="shared" ref="AE3:AE12" si="7">AC$101</f>
        <v>0</v>
      </c>
      <c r="AF3" s="90">
        <f>G3/I3</f>
        <v>0.17916666666666667</v>
      </c>
      <c r="AG3" s="91" t="str">
        <f t="shared" ref="AG3:AG15" si="8">IF(F3="Sim",IF(AL$1="Ok",$G3/$I3,""),"-")</f>
        <v>-</v>
      </c>
      <c r="AH3" s="90">
        <f>(G3/I3)*(1/13)</f>
        <v>1.3782051282051283E-2</v>
      </c>
      <c r="AI3" s="90" t="str">
        <f>IF(AL$1="Ok",IF(F$15="Sim",($G3/$I3)*(1/SUM($AR$12,$AR$13,$AR$14)),"-"),"")</f>
        <v/>
      </c>
      <c r="AJ3" s="90">
        <f>(1/I3)*'Servente com insumos'!$I$130</f>
        <v>4.0989750000000003</v>
      </c>
      <c r="AK3" s="90" t="str">
        <f t="shared" ref="AK3:AK15" si="9">IF(F3="Sim",IF(AL$1="Ok",(1/$I3)*$AS$13,""),"-")</f>
        <v>-</v>
      </c>
      <c r="AL3" s="90">
        <f>1/(13*I3)*Encarregado!$I$130</f>
        <v>0.24467499999999998</v>
      </c>
      <c r="AM3" s="90" t="str">
        <f>IF(AL$1="Ok",IF(F$15="Sim",$AR$15/(SUM($AR$12,$AR$13,$AR$14)*$I3)*$AS$15,"-"),"")</f>
        <v/>
      </c>
      <c r="AN3" s="90">
        <f>SUM(AJ3:AM3)</f>
        <v>4.3436500000000002</v>
      </c>
      <c r="AO3" s="92">
        <f>G3*AJ3</f>
        <v>881.27962500000001</v>
      </c>
      <c r="AP3" s="91"/>
      <c r="AQ3" s="92">
        <f>G3*AL3</f>
        <v>52.605124999999994</v>
      </c>
      <c r="AR3" s="90" t="str">
        <f>IF(AL$1="Ok",IF(F$15="Sim",$G3*AM3,"-"),"")</f>
        <v/>
      </c>
      <c r="AS3" s="93">
        <f>SUM(AO3:AR3)</f>
        <v>933.88475000000005</v>
      </c>
    </row>
    <row r="4" spans="1:45" ht="25.5">
      <c r="A4" s="310"/>
      <c r="B4" s="290"/>
      <c r="C4" s="82" t="s">
        <v>8</v>
      </c>
      <c r="D4" s="290" t="s">
        <v>434</v>
      </c>
      <c r="E4" s="290"/>
      <c r="F4" s="83" t="s">
        <v>428</v>
      </c>
      <c r="G4" s="84">
        <v>4220</v>
      </c>
      <c r="H4" s="85" t="s">
        <v>429</v>
      </c>
      <c r="I4" s="84">
        <v>1200</v>
      </c>
      <c r="J4" s="84">
        <f t="shared" si="0"/>
        <v>0</v>
      </c>
      <c r="K4" s="86" t="s">
        <v>430</v>
      </c>
      <c r="L4" s="87">
        <f t="shared" ref="L4:L20" si="10">I4</f>
        <v>1200</v>
      </c>
      <c r="M4" s="84">
        <f t="shared" si="1"/>
        <v>0</v>
      </c>
      <c r="N4" s="86" t="s">
        <v>430</v>
      </c>
      <c r="O4" s="87">
        <f t="shared" ref="O4:O20" si="11">I4</f>
        <v>1200</v>
      </c>
      <c r="P4" s="84">
        <f t="shared" si="2"/>
        <v>0</v>
      </c>
      <c r="Q4" s="88" t="s">
        <v>431</v>
      </c>
      <c r="R4" s="86">
        <f t="shared" si="3"/>
        <v>0</v>
      </c>
      <c r="S4" s="86" t="s">
        <v>432</v>
      </c>
      <c r="T4" s="84">
        <f t="shared" ref="T4:T15" si="12">I4</f>
        <v>1200</v>
      </c>
      <c r="U4" s="84" t="s">
        <v>433</v>
      </c>
      <c r="V4" s="84">
        <f t="shared" si="4"/>
        <v>0</v>
      </c>
      <c r="W4" s="88" t="s">
        <v>431</v>
      </c>
      <c r="X4" s="86">
        <f t="shared" si="5"/>
        <v>0</v>
      </c>
      <c r="Y4" s="88" t="s">
        <v>432</v>
      </c>
      <c r="Z4" s="84">
        <f t="shared" ref="Z4:Z15" si="13">I4</f>
        <v>1200</v>
      </c>
      <c r="AA4" s="84" t="s">
        <v>433</v>
      </c>
      <c r="AB4" s="84">
        <f t="shared" si="6"/>
        <v>0</v>
      </c>
      <c r="AC4" s="88">
        <f t="shared" si="6"/>
        <v>0</v>
      </c>
      <c r="AD4" s="88" t="s">
        <v>430</v>
      </c>
      <c r="AE4" s="89">
        <f t="shared" si="7"/>
        <v>0</v>
      </c>
      <c r="AF4" s="90">
        <f t="shared" ref="AF4:AF20" si="14">G4/I4</f>
        <v>3.5166666666666666</v>
      </c>
      <c r="AG4" s="91" t="str">
        <f t="shared" si="8"/>
        <v>-</v>
      </c>
      <c r="AH4" s="90">
        <f t="shared" ref="AH4:AH20" si="15">(G4/I4)*(1/13)</f>
        <v>0.27051282051282055</v>
      </c>
      <c r="AI4" s="90" t="str">
        <f t="shared" ref="AI4:AI15" si="16">IF(AL$1="Ok",IF(F$15="Sim",($G4/$I4)*(1/SUM($AR$12,$AR$13,$AR$14)),"-"),"")</f>
        <v/>
      </c>
      <c r="AJ4" s="90">
        <f>(1/I4)*'Servente com insumos'!$I$130</f>
        <v>4.0989750000000003</v>
      </c>
      <c r="AK4" s="91" t="str">
        <f t="shared" si="9"/>
        <v>-</v>
      </c>
      <c r="AL4" s="90">
        <f>1/(13*I4)*Encarregado!$I$130</f>
        <v>0.24467499999999998</v>
      </c>
      <c r="AM4" s="90" t="str">
        <f t="shared" ref="AM4:AM15" si="17">IF(AL$1="Ok",IF(F$15="Sim",$AR$15/(SUM($AR$12,$AR$13,$AR$14)*$I4)*$AS$15,"-"),"")</f>
        <v/>
      </c>
      <c r="AN4" s="90">
        <f t="shared" ref="AN4:AN20" si="18">SUM(AJ4:AM4)</f>
        <v>4.3436500000000002</v>
      </c>
      <c r="AO4" s="92">
        <f t="shared" ref="AO4:AO20" si="19">G4*AJ4</f>
        <v>17297.674500000001</v>
      </c>
      <c r="AP4" s="91"/>
      <c r="AQ4" s="92">
        <f t="shared" ref="AQ4:AQ20" si="20">G4*AL4</f>
        <v>1032.5284999999999</v>
      </c>
      <c r="AR4" s="90" t="str">
        <f t="shared" ref="AR4:AR20" si="21">IF(AL$1="Ok",IF(F$15="Sim",$G4*AM4,"-"),"")</f>
        <v/>
      </c>
      <c r="AS4" s="93">
        <f t="shared" ref="AS4:AS20" si="22">SUM(AO4:AR4)</f>
        <v>18330.203000000001</v>
      </c>
    </row>
    <row r="5" spans="1:45" ht="25.5">
      <c r="A5" s="310"/>
      <c r="B5" s="290"/>
      <c r="C5" s="82" t="s">
        <v>8</v>
      </c>
      <c r="D5" s="290" t="s">
        <v>435</v>
      </c>
      <c r="E5" s="290"/>
      <c r="F5" s="83" t="s">
        <v>436</v>
      </c>
      <c r="G5" s="84">
        <v>0</v>
      </c>
      <c r="H5" s="85" t="s">
        <v>429</v>
      </c>
      <c r="I5" s="84">
        <v>1200</v>
      </c>
      <c r="J5" s="84">
        <f t="shared" si="0"/>
        <v>0</v>
      </c>
      <c r="K5" s="86" t="s">
        <v>430</v>
      </c>
      <c r="L5" s="87">
        <f t="shared" si="10"/>
        <v>1200</v>
      </c>
      <c r="M5" s="84">
        <f t="shared" si="1"/>
        <v>0</v>
      </c>
      <c r="N5" s="86" t="s">
        <v>430</v>
      </c>
      <c r="O5" s="87">
        <f t="shared" si="11"/>
        <v>1200</v>
      </c>
      <c r="P5" s="84">
        <f t="shared" si="2"/>
        <v>0</v>
      </c>
      <c r="Q5" s="88" t="s">
        <v>431</v>
      </c>
      <c r="R5" s="86">
        <f t="shared" si="3"/>
        <v>0</v>
      </c>
      <c r="S5" s="86" t="s">
        <v>432</v>
      </c>
      <c r="T5" s="84">
        <f t="shared" si="12"/>
        <v>1200</v>
      </c>
      <c r="U5" s="84" t="s">
        <v>433</v>
      </c>
      <c r="V5" s="84">
        <f t="shared" si="4"/>
        <v>0</v>
      </c>
      <c r="W5" s="88" t="s">
        <v>431</v>
      </c>
      <c r="X5" s="86">
        <f t="shared" si="5"/>
        <v>0</v>
      </c>
      <c r="Y5" s="88" t="s">
        <v>432</v>
      </c>
      <c r="Z5" s="84">
        <f t="shared" si="13"/>
        <v>1200</v>
      </c>
      <c r="AA5" s="84" t="s">
        <v>433</v>
      </c>
      <c r="AB5" s="84">
        <f t="shared" si="6"/>
        <v>0</v>
      </c>
      <c r="AC5" s="88">
        <f t="shared" si="6"/>
        <v>0</v>
      </c>
      <c r="AD5" s="88" t="s">
        <v>430</v>
      </c>
      <c r="AE5" s="89">
        <f t="shared" si="7"/>
        <v>0</v>
      </c>
      <c r="AF5" s="90">
        <f t="shared" si="14"/>
        <v>0</v>
      </c>
      <c r="AG5" s="91" t="str">
        <f t="shared" si="8"/>
        <v/>
      </c>
      <c r="AH5" s="90">
        <f t="shared" si="15"/>
        <v>0</v>
      </c>
      <c r="AI5" s="90" t="str">
        <f t="shared" si="16"/>
        <v/>
      </c>
      <c r="AJ5" s="90"/>
      <c r="AK5" s="90">
        <f>(1/I5)*'Servente com insalubridade'!$I$130</f>
        <v>3.7880583333333337</v>
      </c>
      <c r="AL5" s="90">
        <f>1/(13*I5)*Encarregado!$I$130</f>
        <v>0.24467499999999998</v>
      </c>
      <c r="AM5" s="90" t="str">
        <f t="shared" si="17"/>
        <v/>
      </c>
      <c r="AN5" s="90">
        <f t="shared" ref="AN5" si="23">SUM(AJ5:AM5)</f>
        <v>4.0327333333333337</v>
      </c>
      <c r="AO5" s="92">
        <f t="shared" si="19"/>
        <v>0</v>
      </c>
      <c r="AP5" s="91">
        <f t="shared" ref="AP5:AP12" si="24">G5*AK5</f>
        <v>0</v>
      </c>
      <c r="AQ5" s="92">
        <f t="shared" si="20"/>
        <v>0</v>
      </c>
      <c r="AR5" s="90" t="str">
        <f t="shared" si="21"/>
        <v/>
      </c>
      <c r="AS5" s="93">
        <f t="shared" ref="AS5" si="25">SUM(AO5:AR5)</f>
        <v>0</v>
      </c>
    </row>
    <row r="6" spans="1:45" ht="25.5">
      <c r="A6" s="310"/>
      <c r="B6" s="290"/>
      <c r="C6" s="82" t="s">
        <v>8</v>
      </c>
      <c r="D6" s="290" t="s">
        <v>437</v>
      </c>
      <c r="E6" s="290"/>
      <c r="F6" s="83" t="s">
        <v>428</v>
      </c>
      <c r="G6" s="84">
        <v>1476</v>
      </c>
      <c r="H6" s="85" t="s">
        <v>438</v>
      </c>
      <c r="I6" s="84">
        <v>450</v>
      </c>
      <c r="J6" s="84">
        <f t="shared" si="0"/>
        <v>0</v>
      </c>
      <c r="K6" s="86" t="s">
        <v>430</v>
      </c>
      <c r="L6" s="87">
        <f t="shared" si="10"/>
        <v>450</v>
      </c>
      <c r="M6" s="84">
        <f t="shared" si="1"/>
        <v>0</v>
      </c>
      <c r="N6" s="86" t="s">
        <v>430</v>
      </c>
      <c r="O6" s="87">
        <f t="shared" si="11"/>
        <v>450</v>
      </c>
      <c r="P6" s="84">
        <f t="shared" si="2"/>
        <v>0</v>
      </c>
      <c r="Q6" s="88" t="s">
        <v>431</v>
      </c>
      <c r="R6" s="86">
        <f t="shared" si="3"/>
        <v>0</v>
      </c>
      <c r="S6" s="86" t="s">
        <v>432</v>
      </c>
      <c r="T6" s="84">
        <f t="shared" si="12"/>
        <v>450</v>
      </c>
      <c r="U6" s="84" t="s">
        <v>433</v>
      </c>
      <c r="V6" s="84">
        <f t="shared" si="4"/>
        <v>0</v>
      </c>
      <c r="W6" s="88" t="s">
        <v>431</v>
      </c>
      <c r="X6" s="86">
        <f t="shared" si="5"/>
        <v>0</v>
      </c>
      <c r="Y6" s="88" t="s">
        <v>432</v>
      </c>
      <c r="Z6" s="84">
        <f t="shared" si="13"/>
        <v>450</v>
      </c>
      <c r="AA6" s="84" t="s">
        <v>433</v>
      </c>
      <c r="AB6" s="84">
        <f t="shared" si="6"/>
        <v>0</v>
      </c>
      <c r="AC6" s="88">
        <f t="shared" si="6"/>
        <v>0</v>
      </c>
      <c r="AD6" s="88" t="s">
        <v>430</v>
      </c>
      <c r="AE6" s="89">
        <f t="shared" si="7"/>
        <v>0</v>
      </c>
      <c r="AF6" s="90">
        <f t="shared" si="14"/>
        <v>3.28</v>
      </c>
      <c r="AG6" s="91" t="str">
        <f t="shared" si="8"/>
        <v>-</v>
      </c>
      <c r="AH6" s="90">
        <f t="shared" si="15"/>
        <v>0.25230769230769229</v>
      </c>
      <c r="AI6" s="90" t="str">
        <f t="shared" si="16"/>
        <v/>
      </c>
      <c r="AJ6" s="90">
        <f>(1/I6)*'Servente com insumos'!$I$130</f>
        <v>10.9306</v>
      </c>
      <c r="AK6" s="90">
        <v>0</v>
      </c>
      <c r="AL6" s="90">
        <f>1/(13*I6)*Encarregado!$I$130</f>
        <v>0.65246666666666664</v>
      </c>
      <c r="AM6" s="90" t="str">
        <f t="shared" si="17"/>
        <v/>
      </c>
      <c r="AN6" s="90">
        <f t="shared" si="18"/>
        <v>11.583066666666667</v>
      </c>
      <c r="AO6" s="92">
        <f t="shared" si="19"/>
        <v>16133.5656</v>
      </c>
      <c r="AP6" s="91">
        <f t="shared" si="24"/>
        <v>0</v>
      </c>
      <c r="AQ6" s="92">
        <f t="shared" si="20"/>
        <v>963.04079999999999</v>
      </c>
      <c r="AR6" s="90" t="str">
        <f t="shared" si="21"/>
        <v/>
      </c>
      <c r="AS6" s="93">
        <f t="shared" si="22"/>
        <v>17096.606400000001</v>
      </c>
    </row>
    <row r="7" spans="1:45" ht="25.5">
      <c r="A7" s="310"/>
      <c r="B7" s="290"/>
      <c r="C7" s="82" t="s">
        <v>8</v>
      </c>
      <c r="D7" s="290" t="s">
        <v>439</v>
      </c>
      <c r="E7" s="290"/>
      <c r="F7" s="83" t="s">
        <v>428</v>
      </c>
      <c r="G7" s="84">
        <v>243</v>
      </c>
      <c r="H7" s="85" t="s">
        <v>440</v>
      </c>
      <c r="I7" s="84">
        <v>2500</v>
      </c>
      <c r="J7" s="84">
        <f t="shared" si="0"/>
        <v>0</v>
      </c>
      <c r="K7" s="86" t="s">
        <v>430</v>
      </c>
      <c r="L7" s="87">
        <f t="shared" si="10"/>
        <v>2500</v>
      </c>
      <c r="M7" s="84">
        <f t="shared" si="1"/>
        <v>0</v>
      </c>
      <c r="N7" s="86" t="s">
        <v>430</v>
      </c>
      <c r="O7" s="87">
        <f t="shared" si="11"/>
        <v>2500</v>
      </c>
      <c r="P7" s="84">
        <f t="shared" si="2"/>
        <v>0</v>
      </c>
      <c r="Q7" s="88" t="s">
        <v>431</v>
      </c>
      <c r="R7" s="86">
        <f t="shared" si="3"/>
        <v>0</v>
      </c>
      <c r="S7" s="86" t="s">
        <v>432</v>
      </c>
      <c r="T7" s="84">
        <f t="shared" si="12"/>
        <v>2500</v>
      </c>
      <c r="U7" s="84" t="s">
        <v>433</v>
      </c>
      <c r="V7" s="84">
        <f t="shared" si="4"/>
        <v>0</v>
      </c>
      <c r="W7" s="88" t="s">
        <v>431</v>
      </c>
      <c r="X7" s="86">
        <f t="shared" si="5"/>
        <v>0</v>
      </c>
      <c r="Y7" s="88" t="s">
        <v>432</v>
      </c>
      <c r="Z7" s="84">
        <f t="shared" si="13"/>
        <v>2500</v>
      </c>
      <c r="AA7" s="84" t="s">
        <v>433</v>
      </c>
      <c r="AB7" s="84">
        <f t="shared" si="6"/>
        <v>0</v>
      </c>
      <c r="AC7" s="88">
        <f t="shared" si="6"/>
        <v>0</v>
      </c>
      <c r="AD7" s="88" t="s">
        <v>430</v>
      </c>
      <c r="AE7" s="89">
        <f t="shared" si="7"/>
        <v>0</v>
      </c>
      <c r="AF7" s="90">
        <f t="shared" si="14"/>
        <v>9.7199999999999995E-2</v>
      </c>
      <c r="AG7" s="91" t="str">
        <f t="shared" si="8"/>
        <v>-</v>
      </c>
      <c r="AH7" s="90">
        <f t="shared" si="15"/>
        <v>7.4769230769230772E-3</v>
      </c>
      <c r="AI7" s="90" t="str">
        <f t="shared" si="16"/>
        <v/>
      </c>
      <c r="AJ7" s="90">
        <f>(1/I7)*'Servente com insumos'!$I$130</f>
        <v>1.9675080000000003</v>
      </c>
      <c r="AK7" s="90">
        <v>0</v>
      </c>
      <c r="AL7" s="90">
        <f>1/(13*I7)*Encarregado!$I$130</f>
        <v>0.11744399999999999</v>
      </c>
      <c r="AM7" s="90" t="str">
        <f t="shared" si="17"/>
        <v/>
      </c>
      <c r="AN7" s="90">
        <f t="shared" si="18"/>
        <v>2.0849520000000004</v>
      </c>
      <c r="AO7" s="92">
        <f t="shared" si="19"/>
        <v>478.10444400000006</v>
      </c>
      <c r="AP7" s="91">
        <f t="shared" si="24"/>
        <v>0</v>
      </c>
      <c r="AQ7" s="92">
        <f t="shared" si="20"/>
        <v>28.538891999999997</v>
      </c>
      <c r="AR7" s="90" t="str">
        <f t="shared" si="21"/>
        <v/>
      </c>
      <c r="AS7" s="93">
        <f t="shared" si="22"/>
        <v>506.64333600000003</v>
      </c>
    </row>
    <row r="8" spans="1:45" ht="25.5">
      <c r="A8" s="310"/>
      <c r="B8" s="290"/>
      <c r="C8" s="82" t="s">
        <v>8</v>
      </c>
      <c r="D8" s="290" t="s">
        <v>441</v>
      </c>
      <c r="E8" s="290"/>
      <c r="F8" s="83" t="s">
        <v>428</v>
      </c>
      <c r="G8" s="84">
        <v>46</v>
      </c>
      <c r="H8" s="85" t="s">
        <v>442</v>
      </c>
      <c r="I8" s="84">
        <v>1800</v>
      </c>
      <c r="J8" s="84">
        <f t="shared" si="0"/>
        <v>0</v>
      </c>
      <c r="K8" s="86" t="s">
        <v>430</v>
      </c>
      <c r="L8" s="87">
        <f t="shared" si="10"/>
        <v>1800</v>
      </c>
      <c r="M8" s="84">
        <f t="shared" si="1"/>
        <v>0</v>
      </c>
      <c r="N8" s="86" t="s">
        <v>430</v>
      </c>
      <c r="O8" s="87">
        <f t="shared" si="11"/>
        <v>1800</v>
      </c>
      <c r="P8" s="84">
        <f t="shared" si="2"/>
        <v>0</v>
      </c>
      <c r="Q8" s="88" t="s">
        <v>431</v>
      </c>
      <c r="R8" s="86">
        <f t="shared" si="3"/>
        <v>0</v>
      </c>
      <c r="S8" s="86" t="s">
        <v>432</v>
      </c>
      <c r="T8" s="84">
        <f t="shared" si="12"/>
        <v>1800</v>
      </c>
      <c r="U8" s="84" t="s">
        <v>433</v>
      </c>
      <c r="V8" s="84">
        <f t="shared" si="4"/>
        <v>0</v>
      </c>
      <c r="W8" s="88" t="s">
        <v>431</v>
      </c>
      <c r="X8" s="86">
        <f t="shared" si="5"/>
        <v>0</v>
      </c>
      <c r="Y8" s="88" t="s">
        <v>432</v>
      </c>
      <c r="Z8" s="84">
        <f t="shared" si="13"/>
        <v>1800</v>
      </c>
      <c r="AA8" s="84" t="s">
        <v>433</v>
      </c>
      <c r="AB8" s="84">
        <f t="shared" si="6"/>
        <v>0</v>
      </c>
      <c r="AC8" s="88">
        <f t="shared" si="6"/>
        <v>0</v>
      </c>
      <c r="AD8" s="88" t="s">
        <v>430</v>
      </c>
      <c r="AE8" s="89">
        <f t="shared" si="7"/>
        <v>0</v>
      </c>
      <c r="AF8" s="90">
        <f t="shared" si="14"/>
        <v>2.5555555555555557E-2</v>
      </c>
      <c r="AG8" s="91" t="str">
        <f t="shared" si="8"/>
        <v>-</v>
      </c>
      <c r="AH8" s="90">
        <f t="shared" si="15"/>
        <v>1.965811965811966E-3</v>
      </c>
      <c r="AI8" s="90" t="str">
        <f t="shared" si="16"/>
        <v/>
      </c>
      <c r="AJ8" s="90">
        <f>(1/I8)*'Servente com insumos'!$I$130</f>
        <v>2.73265</v>
      </c>
      <c r="AK8" s="90">
        <v>0</v>
      </c>
      <c r="AL8" s="90">
        <f>1/(13*I8)*Encarregado!$I$130</f>
        <v>0.16311666666666666</v>
      </c>
      <c r="AM8" s="90" t="str">
        <f t="shared" si="17"/>
        <v/>
      </c>
      <c r="AN8" s="90">
        <f t="shared" si="18"/>
        <v>2.8957666666666668</v>
      </c>
      <c r="AO8" s="92">
        <f t="shared" si="19"/>
        <v>125.70189999999999</v>
      </c>
      <c r="AP8" s="91">
        <f t="shared" si="24"/>
        <v>0</v>
      </c>
      <c r="AQ8" s="92">
        <f t="shared" si="20"/>
        <v>7.5033666666666665</v>
      </c>
      <c r="AR8" s="90" t="str">
        <f t="shared" si="21"/>
        <v/>
      </c>
      <c r="AS8" s="93">
        <f t="shared" si="22"/>
        <v>133.20526666666666</v>
      </c>
    </row>
    <row r="9" spans="1:45" ht="25.5">
      <c r="A9" s="310"/>
      <c r="B9" s="290"/>
      <c r="C9" s="82" t="s">
        <v>8</v>
      </c>
      <c r="D9" s="290" t="s">
        <v>443</v>
      </c>
      <c r="E9" s="290"/>
      <c r="F9" s="83" t="s">
        <v>428</v>
      </c>
      <c r="G9" s="84">
        <v>1512</v>
      </c>
      <c r="H9" s="85" t="s">
        <v>444</v>
      </c>
      <c r="I9" s="84">
        <v>1500</v>
      </c>
      <c r="J9" s="84">
        <f t="shared" si="0"/>
        <v>0</v>
      </c>
      <c r="K9" s="86" t="s">
        <v>430</v>
      </c>
      <c r="L9" s="87">
        <f t="shared" si="10"/>
        <v>1500</v>
      </c>
      <c r="M9" s="84">
        <f t="shared" si="1"/>
        <v>0</v>
      </c>
      <c r="N9" s="86" t="s">
        <v>430</v>
      </c>
      <c r="O9" s="87">
        <f t="shared" si="11"/>
        <v>1500</v>
      </c>
      <c r="P9" s="84">
        <f t="shared" si="2"/>
        <v>0</v>
      </c>
      <c r="Q9" s="88" t="s">
        <v>431</v>
      </c>
      <c r="R9" s="86">
        <f t="shared" si="3"/>
        <v>0</v>
      </c>
      <c r="S9" s="86" t="s">
        <v>432</v>
      </c>
      <c r="T9" s="84">
        <f t="shared" si="12"/>
        <v>1500</v>
      </c>
      <c r="U9" s="84" t="s">
        <v>433</v>
      </c>
      <c r="V9" s="84">
        <f t="shared" si="4"/>
        <v>0</v>
      </c>
      <c r="W9" s="88" t="s">
        <v>431</v>
      </c>
      <c r="X9" s="86">
        <f t="shared" si="5"/>
        <v>0</v>
      </c>
      <c r="Y9" s="88" t="s">
        <v>432</v>
      </c>
      <c r="Z9" s="84">
        <f t="shared" si="13"/>
        <v>1500</v>
      </c>
      <c r="AA9" s="84" t="s">
        <v>433</v>
      </c>
      <c r="AB9" s="84">
        <f t="shared" si="6"/>
        <v>0</v>
      </c>
      <c r="AC9" s="88">
        <f t="shared" si="6"/>
        <v>0</v>
      </c>
      <c r="AD9" s="88" t="s">
        <v>430</v>
      </c>
      <c r="AE9" s="89">
        <f t="shared" si="7"/>
        <v>0</v>
      </c>
      <c r="AF9" s="90">
        <f t="shared" si="14"/>
        <v>1.008</v>
      </c>
      <c r="AG9" s="91" t="str">
        <f t="shared" si="8"/>
        <v>-</v>
      </c>
      <c r="AH9" s="90">
        <f t="shared" si="15"/>
        <v>7.7538461538461542E-2</v>
      </c>
      <c r="AI9" s="90" t="str">
        <f t="shared" si="16"/>
        <v/>
      </c>
      <c r="AJ9" s="90">
        <f>(1/I9)*'Servente com insumos'!$I$130</f>
        <v>3.2791800000000002</v>
      </c>
      <c r="AK9" s="90">
        <v>0</v>
      </c>
      <c r="AL9" s="90">
        <f>1/(13*I9)*Encarregado!$I$130</f>
        <v>0.19573999999999997</v>
      </c>
      <c r="AM9" s="90" t="str">
        <f t="shared" si="17"/>
        <v/>
      </c>
      <c r="AN9" s="90">
        <f t="shared" si="18"/>
        <v>3.47492</v>
      </c>
      <c r="AO9" s="92">
        <f t="shared" si="19"/>
        <v>4958.1201600000004</v>
      </c>
      <c r="AP9" s="91">
        <f t="shared" si="24"/>
        <v>0</v>
      </c>
      <c r="AQ9" s="92">
        <f t="shared" si="20"/>
        <v>295.95887999999997</v>
      </c>
      <c r="AR9" s="90" t="str">
        <f t="shared" si="21"/>
        <v/>
      </c>
      <c r="AS9" s="93">
        <f t="shared" si="22"/>
        <v>5254.0790400000005</v>
      </c>
    </row>
    <row r="10" spans="1:45" ht="25.5">
      <c r="A10" s="310"/>
      <c r="B10" s="290"/>
      <c r="C10" s="82" t="s">
        <v>8</v>
      </c>
      <c r="D10" s="290" t="s">
        <v>445</v>
      </c>
      <c r="E10" s="290"/>
      <c r="F10" s="83" t="s">
        <v>436</v>
      </c>
      <c r="G10" s="84">
        <v>46</v>
      </c>
      <c r="H10" s="85" t="s">
        <v>446</v>
      </c>
      <c r="I10" s="84">
        <v>200</v>
      </c>
      <c r="J10" s="84">
        <f t="shared" si="0"/>
        <v>0</v>
      </c>
      <c r="K10" s="86" t="s">
        <v>430</v>
      </c>
      <c r="L10" s="87">
        <f t="shared" si="10"/>
        <v>200</v>
      </c>
      <c r="M10" s="84">
        <f t="shared" si="1"/>
        <v>0</v>
      </c>
      <c r="N10" s="86" t="s">
        <v>430</v>
      </c>
      <c r="O10" s="87">
        <f t="shared" si="11"/>
        <v>200</v>
      </c>
      <c r="P10" s="84">
        <f t="shared" si="2"/>
        <v>0</v>
      </c>
      <c r="Q10" s="88" t="s">
        <v>431</v>
      </c>
      <c r="R10" s="86">
        <f t="shared" si="3"/>
        <v>0</v>
      </c>
      <c r="S10" s="86" t="s">
        <v>432</v>
      </c>
      <c r="T10" s="84">
        <f t="shared" si="12"/>
        <v>200</v>
      </c>
      <c r="U10" s="84" t="s">
        <v>433</v>
      </c>
      <c r="V10" s="84">
        <f t="shared" si="4"/>
        <v>0</v>
      </c>
      <c r="W10" s="88" t="s">
        <v>431</v>
      </c>
      <c r="X10" s="86">
        <f t="shared" si="5"/>
        <v>0</v>
      </c>
      <c r="Y10" s="88" t="s">
        <v>432</v>
      </c>
      <c r="Z10" s="84">
        <f t="shared" si="13"/>
        <v>200</v>
      </c>
      <c r="AA10" s="84" t="s">
        <v>433</v>
      </c>
      <c r="AB10" s="84">
        <f t="shared" si="6"/>
        <v>0</v>
      </c>
      <c r="AC10" s="88">
        <f t="shared" si="6"/>
        <v>0</v>
      </c>
      <c r="AD10" s="88" t="s">
        <v>430</v>
      </c>
      <c r="AE10" s="89">
        <f t="shared" si="7"/>
        <v>0</v>
      </c>
      <c r="AF10" s="90">
        <v>0</v>
      </c>
      <c r="AG10" s="91">
        <f>G10/I10</f>
        <v>0.23</v>
      </c>
      <c r="AH10" s="90">
        <f t="shared" si="15"/>
        <v>1.7692307692307695E-2</v>
      </c>
      <c r="AI10" s="90" t="str">
        <f t="shared" si="16"/>
        <v/>
      </c>
      <c r="AJ10" s="90">
        <v>0</v>
      </c>
      <c r="AK10" s="90">
        <f>(1/I10)*'Servente com insalubridade'!$I$130</f>
        <v>22.728350000000002</v>
      </c>
      <c r="AL10" s="90">
        <f>1/(13*I10)*Encarregado!$I$130</f>
        <v>1.4680499999999999</v>
      </c>
      <c r="AM10" s="90" t="str">
        <f t="shared" si="17"/>
        <v/>
      </c>
      <c r="AN10" s="90">
        <f t="shared" si="18"/>
        <v>24.196400000000004</v>
      </c>
      <c r="AO10" s="92">
        <f t="shared" si="19"/>
        <v>0</v>
      </c>
      <c r="AP10" s="91">
        <f t="shared" si="24"/>
        <v>1045.5041000000001</v>
      </c>
      <c r="AQ10" s="92">
        <f t="shared" si="20"/>
        <v>67.530299999999997</v>
      </c>
      <c r="AR10" s="90" t="str">
        <f t="shared" si="21"/>
        <v/>
      </c>
      <c r="AS10" s="93">
        <f t="shared" si="22"/>
        <v>1113.0344</v>
      </c>
    </row>
    <row r="11" spans="1:45" ht="25.5">
      <c r="A11" s="310"/>
      <c r="B11" s="290"/>
      <c r="C11" s="82" t="s">
        <v>8</v>
      </c>
      <c r="D11" s="290" t="s">
        <v>447</v>
      </c>
      <c r="E11" s="290"/>
      <c r="F11" s="83" t="s">
        <v>428</v>
      </c>
      <c r="G11" s="84">
        <v>18.5</v>
      </c>
      <c r="H11" s="85" t="s">
        <v>446</v>
      </c>
      <c r="I11" s="84">
        <v>250</v>
      </c>
      <c r="J11" s="84">
        <f t="shared" si="0"/>
        <v>0</v>
      </c>
      <c r="K11" s="86" t="s">
        <v>430</v>
      </c>
      <c r="L11" s="87">
        <f t="shared" si="10"/>
        <v>250</v>
      </c>
      <c r="M11" s="84">
        <f t="shared" si="1"/>
        <v>0</v>
      </c>
      <c r="N11" s="86" t="s">
        <v>430</v>
      </c>
      <c r="O11" s="87">
        <f t="shared" si="11"/>
        <v>250</v>
      </c>
      <c r="P11" s="84">
        <f t="shared" si="2"/>
        <v>0</v>
      </c>
      <c r="Q11" s="88" t="s">
        <v>431</v>
      </c>
      <c r="R11" s="86">
        <f t="shared" si="3"/>
        <v>0</v>
      </c>
      <c r="S11" s="86" t="s">
        <v>432</v>
      </c>
      <c r="T11" s="84">
        <f t="shared" si="12"/>
        <v>250</v>
      </c>
      <c r="U11" s="84" t="s">
        <v>433</v>
      </c>
      <c r="V11" s="84">
        <f t="shared" si="4"/>
        <v>0</v>
      </c>
      <c r="W11" s="88" t="s">
        <v>431</v>
      </c>
      <c r="X11" s="86">
        <f t="shared" si="5"/>
        <v>0</v>
      </c>
      <c r="Y11" s="88" t="s">
        <v>432</v>
      </c>
      <c r="Z11" s="84">
        <f t="shared" si="13"/>
        <v>250</v>
      </c>
      <c r="AA11" s="84" t="s">
        <v>433</v>
      </c>
      <c r="AB11" s="84">
        <f t="shared" si="6"/>
        <v>0</v>
      </c>
      <c r="AC11" s="88">
        <f t="shared" si="6"/>
        <v>0</v>
      </c>
      <c r="AD11" s="88" t="s">
        <v>430</v>
      </c>
      <c r="AE11" s="89">
        <f t="shared" si="7"/>
        <v>0</v>
      </c>
      <c r="AF11" s="90">
        <f t="shared" si="14"/>
        <v>7.3999999999999996E-2</v>
      </c>
      <c r="AG11" s="91" t="str">
        <f t="shared" si="8"/>
        <v>-</v>
      </c>
      <c r="AH11" s="90">
        <f t="shared" si="15"/>
        <v>5.6923076923076927E-3</v>
      </c>
      <c r="AI11" s="90" t="str">
        <f t="shared" si="16"/>
        <v/>
      </c>
      <c r="AJ11" s="90">
        <f>(1/I11)*'Servente com insumos'!$I$130</f>
        <v>19.675080000000001</v>
      </c>
      <c r="AK11" s="90">
        <v>0</v>
      </c>
      <c r="AL11" s="90">
        <f>1/(13*I11)*Encarregado!$I$130</f>
        <v>1.1744399999999999</v>
      </c>
      <c r="AM11" s="90" t="str">
        <f t="shared" si="17"/>
        <v/>
      </c>
      <c r="AN11" s="90">
        <f t="shared" si="18"/>
        <v>20.849520000000002</v>
      </c>
      <c r="AO11" s="92">
        <f t="shared" si="19"/>
        <v>363.98898000000003</v>
      </c>
      <c r="AP11" s="91">
        <f t="shared" si="24"/>
        <v>0</v>
      </c>
      <c r="AQ11" s="92">
        <f t="shared" si="20"/>
        <v>21.727139999999999</v>
      </c>
      <c r="AR11" s="90" t="str">
        <f t="shared" si="21"/>
        <v/>
      </c>
      <c r="AS11" s="93">
        <f t="shared" si="22"/>
        <v>385.71612000000005</v>
      </c>
    </row>
    <row r="12" spans="1:45" ht="25.5">
      <c r="A12" s="311"/>
      <c r="B12" s="290"/>
      <c r="C12" s="82" t="s">
        <v>8</v>
      </c>
      <c r="D12" s="290" t="s">
        <v>448</v>
      </c>
      <c r="E12" s="290"/>
      <c r="F12" s="83" t="s">
        <v>436</v>
      </c>
      <c r="G12" s="84">
        <v>442.5</v>
      </c>
      <c r="H12" s="85" t="s">
        <v>446</v>
      </c>
      <c r="I12" s="84">
        <v>250</v>
      </c>
      <c r="J12" s="84">
        <f t="shared" si="0"/>
        <v>0</v>
      </c>
      <c r="K12" s="86" t="s">
        <v>430</v>
      </c>
      <c r="L12" s="87">
        <f t="shared" si="10"/>
        <v>250</v>
      </c>
      <c r="M12" s="84">
        <f t="shared" si="1"/>
        <v>0</v>
      </c>
      <c r="N12" s="86" t="s">
        <v>430</v>
      </c>
      <c r="O12" s="87">
        <f t="shared" si="11"/>
        <v>250</v>
      </c>
      <c r="P12" s="84">
        <f t="shared" si="2"/>
        <v>0</v>
      </c>
      <c r="Q12" s="88" t="s">
        <v>431</v>
      </c>
      <c r="R12" s="86">
        <f t="shared" si="3"/>
        <v>0</v>
      </c>
      <c r="S12" s="86" t="s">
        <v>432</v>
      </c>
      <c r="T12" s="84">
        <f t="shared" si="12"/>
        <v>250</v>
      </c>
      <c r="U12" s="84" t="s">
        <v>433</v>
      </c>
      <c r="V12" s="84">
        <f t="shared" si="4"/>
        <v>0</v>
      </c>
      <c r="W12" s="88" t="s">
        <v>431</v>
      </c>
      <c r="X12" s="86">
        <f t="shared" si="5"/>
        <v>0</v>
      </c>
      <c r="Y12" s="88" t="s">
        <v>432</v>
      </c>
      <c r="Z12" s="84">
        <f t="shared" si="13"/>
        <v>250</v>
      </c>
      <c r="AA12" s="84" t="s">
        <v>433</v>
      </c>
      <c r="AB12" s="84">
        <f t="shared" si="6"/>
        <v>0</v>
      </c>
      <c r="AC12" s="88">
        <f t="shared" si="6"/>
        <v>0</v>
      </c>
      <c r="AD12" s="88" t="s">
        <v>430</v>
      </c>
      <c r="AE12" s="89">
        <f t="shared" si="7"/>
        <v>0</v>
      </c>
      <c r="AF12" s="90">
        <v>0</v>
      </c>
      <c r="AG12" s="91">
        <f>G12/I12</f>
        <v>1.77</v>
      </c>
      <c r="AH12" s="90">
        <f t="shared" si="15"/>
        <v>0.13615384615384615</v>
      </c>
      <c r="AI12" s="90" t="str">
        <f t="shared" si="16"/>
        <v/>
      </c>
      <c r="AJ12" s="90">
        <v>0</v>
      </c>
      <c r="AK12" s="90">
        <f>(1/I12)*'Servente com insalubridade'!$I$130</f>
        <v>18.182680000000001</v>
      </c>
      <c r="AL12" s="90">
        <f>1/(13*I12)*Encarregado!$I$130</f>
        <v>1.1744399999999999</v>
      </c>
      <c r="AM12" s="90" t="str">
        <f t="shared" si="17"/>
        <v/>
      </c>
      <c r="AN12" s="90">
        <f t="shared" ref="AN12" si="26">SUM(AJ12:AM12)</f>
        <v>19.357120000000002</v>
      </c>
      <c r="AO12" s="92">
        <f t="shared" si="19"/>
        <v>0</v>
      </c>
      <c r="AP12" s="91">
        <f t="shared" si="24"/>
        <v>8045.8359000000009</v>
      </c>
      <c r="AQ12" s="92">
        <f t="shared" si="20"/>
        <v>519.68970000000002</v>
      </c>
      <c r="AR12" s="90" t="str">
        <f t="shared" si="21"/>
        <v/>
      </c>
      <c r="AS12" s="93">
        <f t="shared" ref="AS12" si="27">SUM(AO12:AR12)</f>
        <v>8565.5256000000008</v>
      </c>
    </row>
    <row r="13" spans="1:45" ht="25.5">
      <c r="A13" s="306">
        <v>2</v>
      </c>
      <c r="B13" s="290" t="s">
        <v>10</v>
      </c>
      <c r="C13" s="82" t="s">
        <v>10</v>
      </c>
      <c r="D13" s="290" t="s">
        <v>449</v>
      </c>
      <c r="E13" s="290"/>
      <c r="F13" s="83" t="s">
        <v>428</v>
      </c>
      <c r="G13" s="84">
        <v>1620</v>
      </c>
      <c r="H13" s="85" t="s">
        <v>450</v>
      </c>
      <c r="I13" s="84">
        <v>2700</v>
      </c>
      <c r="J13" s="84">
        <f>J$100</f>
        <v>0</v>
      </c>
      <c r="K13" s="86" t="s">
        <v>430</v>
      </c>
      <c r="L13" s="87">
        <f t="shared" si="10"/>
        <v>2700</v>
      </c>
      <c r="M13" s="84">
        <f>M$100</f>
        <v>0</v>
      </c>
      <c r="N13" s="86" t="s">
        <v>430</v>
      </c>
      <c r="O13" s="87">
        <f t="shared" si="11"/>
        <v>2700</v>
      </c>
      <c r="P13" s="84">
        <f>P$100</f>
        <v>0</v>
      </c>
      <c r="Q13" s="88" t="s">
        <v>431</v>
      </c>
      <c r="R13" s="86">
        <f>R$101</f>
        <v>0</v>
      </c>
      <c r="S13" s="86" t="s">
        <v>432</v>
      </c>
      <c r="T13" s="84">
        <f t="shared" si="12"/>
        <v>2700</v>
      </c>
      <c r="U13" s="84" t="s">
        <v>433</v>
      </c>
      <c r="V13" s="84">
        <f>V$100</f>
        <v>0</v>
      </c>
      <c r="W13" s="88" t="s">
        <v>431</v>
      </c>
      <c r="X13" s="86">
        <f>X$101</f>
        <v>0</v>
      </c>
      <c r="Y13" s="88" t="s">
        <v>432</v>
      </c>
      <c r="Z13" s="84">
        <f t="shared" si="13"/>
        <v>2700</v>
      </c>
      <c r="AA13" s="84" t="s">
        <v>433</v>
      </c>
      <c r="AB13" s="84">
        <f t="shared" si="6"/>
        <v>0</v>
      </c>
      <c r="AC13" s="88">
        <f t="shared" si="6"/>
        <v>0</v>
      </c>
      <c r="AD13" s="88" t="s">
        <v>430</v>
      </c>
      <c r="AE13" s="89">
        <f>AC$101</f>
        <v>0</v>
      </c>
      <c r="AF13" s="90">
        <f t="shared" si="14"/>
        <v>0.6</v>
      </c>
      <c r="AG13" s="91" t="str">
        <f t="shared" si="8"/>
        <v>-</v>
      </c>
      <c r="AH13" s="90">
        <f t="shared" si="15"/>
        <v>4.6153846153846156E-2</v>
      </c>
      <c r="AI13" s="90" t="str">
        <f t="shared" si="16"/>
        <v/>
      </c>
      <c r="AJ13" s="90">
        <f>(1/I13)*'Servente com insumos'!$I$130</f>
        <v>1.8217666666666668</v>
      </c>
      <c r="AK13" s="91" t="str">
        <f t="shared" si="9"/>
        <v>-</v>
      </c>
      <c r="AL13" s="90">
        <f>1/(13*I13)*Encarregado!$I$130</f>
        <v>0.10874444444444444</v>
      </c>
      <c r="AM13" s="90" t="str">
        <f t="shared" si="17"/>
        <v/>
      </c>
      <c r="AN13" s="90">
        <f t="shared" si="18"/>
        <v>1.9305111111111113</v>
      </c>
      <c r="AO13" s="92">
        <f t="shared" si="19"/>
        <v>2951.2620000000002</v>
      </c>
      <c r="AP13" s="91"/>
      <c r="AQ13" s="92">
        <f t="shared" si="20"/>
        <v>176.166</v>
      </c>
      <c r="AR13" s="90" t="str">
        <f t="shared" si="21"/>
        <v/>
      </c>
      <c r="AS13" s="93">
        <f t="shared" si="22"/>
        <v>3127.4280000000003</v>
      </c>
    </row>
    <row r="14" spans="1:45" ht="25.5">
      <c r="A14" s="307"/>
      <c r="B14" s="290"/>
      <c r="C14" s="82" t="s">
        <v>10</v>
      </c>
      <c r="D14" s="290" t="s">
        <v>451</v>
      </c>
      <c r="E14" s="290"/>
      <c r="F14" s="83" t="s">
        <v>428</v>
      </c>
      <c r="G14" s="84">
        <v>6632</v>
      </c>
      <c r="H14" s="85" t="s">
        <v>452</v>
      </c>
      <c r="I14" s="84">
        <v>9000</v>
      </c>
      <c r="J14" s="84">
        <f>J$100</f>
        <v>0</v>
      </c>
      <c r="K14" s="86" t="s">
        <v>430</v>
      </c>
      <c r="L14" s="87">
        <f t="shared" si="10"/>
        <v>9000</v>
      </c>
      <c r="M14" s="84">
        <f>M$100</f>
        <v>0</v>
      </c>
      <c r="N14" s="86" t="s">
        <v>430</v>
      </c>
      <c r="O14" s="87">
        <f t="shared" si="11"/>
        <v>9000</v>
      </c>
      <c r="P14" s="84">
        <f>P$100</f>
        <v>0</v>
      </c>
      <c r="Q14" s="88" t="s">
        <v>431</v>
      </c>
      <c r="R14" s="86">
        <f>R$101</f>
        <v>0</v>
      </c>
      <c r="S14" s="86" t="s">
        <v>432</v>
      </c>
      <c r="T14" s="84">
        <f t="shared" si="12"/>
        <v>9000</v>
      </c>
      <c r="U14" s="84" t="s">
        <v>433</v>
      </c>
      <c r="V14" s="84">
        <f>V$100</f>
        <v>0</v>
      </c>
      <c r="W14" s="88" t="s">
        <v>431</v>
      </c>
      <c r="X14" s="86">
        <f>X$101</f>
        <v>0</v>
      </c>
      <c r="Y14" s="88" t="s">
        <v>432</v>
      </c>
      <c r="Z14" s="84">
        <f t="shared" si="13"/>
        <v>9000</v>
      </c>
      <c r="AA14" s="84" t="s">
        <v>433</v>
      </c>
      <c r="AB14" s="84">
        <f t="shared" si="6"/>
        <v>0</v>
      </c>
      <c r="AC14" s="88">
        <f t="shared" si="6"/>
        <v>0</v>
      </c>
      <c r="AD14" s="88" t="s">
        <v>430</v>
      </c>
      <c r="AE14" s="89">
        <f>AC$101</f>
        <v>0</v>
      </c>
      <c r="AF14" s="90">
        <f t="shared" si="14"/>
        <v>0.73688888888888893</v>
      </c>
      <c r="AG14" s="91" t="str">
        <f t="shared" si="8"/>
        <v>-</v>
      </c>
      <c r="AH14" s="90">
        <f t="shared" si="15"/>
        <v>5.6683760683760687E-2</v>
      </c>
      <c r="AI14" s="90" t="str">
        <f t="shared" si="16"/>
        <v/>
      </c>
      <c r="AJ14" s="90">
        <f>(1/I14)*'Servente com insumos'!$I$130</f>
        <v>0.54653000000000007</v>
      </c>
      <c r="AK14" s="91" t="str">
        <f t="shared" si="9"/>
        <v>-</v>
      </c>
      <c r="AL14" s="90">
        <f>1/(13*I14)*Encarregado!$I$130</f>
        <v>3.2623333333333338E-2</v>
      </c>
      <c r="AM14" s="90" t="str">
        <f t="shared" si="17"/>
        <v/>
      </c>
      <c r="AN14" s="90">
        <f t="shared" si="18"/>
        <v>0.57915333333333341</v>
      </c>
      <c r="AO14" s="92">
        <f t="shared" si="19"/>
        <v>3624.5869600000005</v>
      </c>
      <c r="AP14" s="91"/>
      <c r="AQ14" s="92">
        <f t="shared" si="20"/>
        <v>216.35794666666669</v>
      </c>
      <c r="AR14" s="90" t="str">
        <f t="shared" si="21"/>
        <v/>
      </c>
      <c r="AS14" s="93">
        <f t="shared" si="22"/>
        <v>3840.9449066666671</v>
      </c>
    </row>
    <row r="15" spans="1:45" ht="25.5">
      <c r="A15" s="308"/>
      <c r="B15" s="290"/>
      <c r="C15" s="82" t="s">
        <v>10</v>
      </c>
      <c r="D15" s="290" t="s">
        <v>453</v>
      </c>
      <c r="E15" s="290"/>
      <c r="F15" s="83" t="s">
        <v>428</v>
      </c>
      <c r="G15" s="84">
        <v>2957</v>
      </c>
      <c r="H15" s="85" t="s">
        <v>450</v>
      </c>
      <c r="I15" s="84">
        <v>2700</v>
      </c>
      <c r="J15" s="84">
        <f>J$100</f>
        <v>0</v>
      </c>
      <c r="K15" s="86" t="s">
        <v>430</v>
      </c>
      <c r="L15" s="87">
        <f t="shared" si="10"/>
        <v>2700</v>
      </c>
      <c r="M15" s="84">
        <f>M$100</f>
        <v>0</v>
      </c>
      <c r="N15" s="86" t="s">
        <v>430</v>
      </c>
      <c r="O15" s="87">
        <f t="shared" si="11"/>
        <v>2700</v>
      </c>
      <c r="P15" s="84">
        <f>P$100</f>
        <v>0</v>
      </c>
      <c r="Q15" s="88" t="s">
        <v>431</v>
      </c>
      <c r="R15" s="86">
        <f>R$101</f>
        <v>0</v>
      </c>
      <c r="S15" s="86" t="s">
        <v>432</v>
      </c>
      <c r="T15" s="84">
        <f t="shared" si="12"/>
        <v>2700</v>
      </c>
      <c r="U15" s="84" t="s">
        <v>433</v>
      </c>
      <c r="V15" s="84">
        <f>V$100</f>
        <v>0</v>
      </c>
      <c r="W15" s="88" t="s">
        <v>431</v>
      </c>
      <c r="X15" s="86">
        <f>X$101</f>
        <v>0</v>
      </c>
      <c r="Y15" s="88" t="s">
        <v>432</v>
      </c>
      <c r="Z15" s="84">
        <f t="shared" si="13"/>
        <v>2700</v>
      </c>
      <c r="AA15" s="84" t="s">
        <v>433</v>
      </c>
      <c r="AB15" s="84">
        <f t="shared" si="6"/>
        <v>0</v>
      </c>
      <c r="AC15" s="88">
        <f t="shared" si="6"/>
        <v>0</v>
      </c>
      <c r="AD15" s="88" t="s">
        <v>430</v>
      </c>
      <c r="AE15" s="89">
        <f>AC$101</f>
        <v>0</v>
      </c>
      <c r="AF15" s="90">
        <f t="shared" si="14"/>
        <v>1.0951851851851853</v>
      </c>
      <c r="AG15" s="91" t="str">
        <f t="shared" si="8"/>
        <v>-</v>
      </c>
      <c r="AH15" s="90">
        <f t="shared" si="15"/>
        <v>8.4245014245014252E-2</v>
      </c>
      <c r="AI15" s="90" t="str">
        <f t="shared" si="16"/>
        <v/>
      </c>
      <c r="AJ15" s="90">
        <f>(1/I15)*'Servente com insumos'!$I$130</f>
        <v>1.8217666666666668</v>
      </c>
      <c r="AK15" s="91" t="str">
        <f t="shared" si="9"/>
        <v>-</v>
      </c>
      <c r="AL15" s="90">
        <f>1/(13*I15)*Encarregado!$I$130</f>
        <v>0.10874444444444444</v>
      </c>
      <c r="AM15" s="90" t="str">
        <f t="shared" si="17"/>
        <v/>
      </c>
      <c r="AN15" s="90">
        <f t="shared" si="18"/>
        <v>1.9305111111111113</v>
      </c>
      <c r="AO15" s="92">
        <f t="shared" si="19"/>
        <v>5386.9640333333336</v>
      </c>
      <c r="AP15" s="91"/>
      <c r="AQ15" s="92">
        <f t="shared" si="20"/>
        <v>321.55732222222218</v>
      </c>
      <c r="AR15" s="90" t="str">
        <f t="shared" si="21"/>
        <v/>
      </c>
      <c r="AS15" s="93">
        <f t="shared" si="22"/>
        <v>5708.5213555555556</v>
      </c>
    </row>
    <row r="16" spans="1:45" ht="25.5">
      <c r="A16" s="306">
        <v>3</v>
      </c>
      <c r="B16" s="290" t="s">
        <v>12</v>
      </c>
      <c r="C16" s="82" t="s">
        <v>12</v>
      </c>
      <c r="D16" s="290" t="s">
        <v>454</v>
      </c>
      <c r="E16" s="290"/>
      <c r="F16" s="83" t="s">
        <v>428</v>
      </c>
      <c r="G16" s="84">
        <v>0</v>
      </c>
      <c r="H16" s="85" t="s">
        <v>455</v>
      </c>
      <c r="I16" s="84">
        <v>160</v>
      </c>
      <c r="J16" s="84">
        <f>J$102</f>
        <v>0</v>
      </c>
      <c r="K16" s="86" t="s">
        <v>430</v>
      </c>
      <c r="L16" s="87">
        <f t="shared" si="10"/>
        <v>160</v>
      </c>
      <c r="M16" s="84">
        <f>M$102</f>
        <v>0</v>
      </c>
      <c r="N16" s="86" t="s">
        <v>430</v>
      </c>
      <c r="O16" s="87">
        <f t="shared" si="11"/>
        <v>160</v>
      </c>
      <c r="P16" s="84">
        <f>P$102</f>
        <v>0</v>
      </c>
      <c r="Q16" s="88" t="s">
        <v>431</v>
      </c>
      <c r="R16" s="86">
        <f>R$103</f>
        <v>0</v>
      </c>
      <c r="S16" s="86" t="s">
        <v>432</v>
      </c>
      <c r="T16" s="84">
        <f>I16</f>
        <v>160</v>
      </c>
      <c r="U16" s="84" t="s">
        <v>433</v>
      </c>
      <c r="V16" s="84">
        <f>V$102</f>
        <v>0</v>
      </c>
      <c r="W16" s="88" t="s">
        <v>431</v>
      </c>
      <c r="X16" s="86">
        <f>X$103</f>
        <v>0</v>
      </c>
      <c r="Y16" s="88" t="s">
        <v>432</v>
      </c>
      <c r="Z16" s="84">
        <f>I16</f>
        <v>160</v>
      </c>
      <c r="AA16" s="84" t="s">
        <v>433</v>
      </c>
      <c r="AB16" s="84">
        <f>AB$102</f>
        <v>0</v>
      </c>
      <c r="AC16" s="88">
        <f>AC$102</f>
        <v>0</v>
      </c>
      <c r="AD16" s="88" t="s">
        <v>430</v>
      </c>
      <c r="AE16" s="89">
        <f>AC$103</f>
        <v>0</v>
      </c>
      <c r="AF16" s="90">
        <f t="shared" si="14"/>
        <v>0</v>
      </c>
      <c r="AG16" s="91" t="str">
        <f>IF(F16="Sim",IF(AL$1="Ok",($G16/$I16)*$AB16*($AC16/$AE16),""),"-")</f>
        <v>-</v>
      </c>
      <c r="AH16" s="90">
        <f t="shared" si="15"/>
        <v>0</v>
      </c>
      <c r="AI16" s="90" t="str">
        <f>IF(AL$1="Ok",IF(F$15="Sim",($G16/$I16)*$AB16*($AC16/$AE16)*(1/SUM($AR$12,$AR$13,$AR$14)),"-"),"")</f>
        <v/>
      </c>
      <c r="AJ16" s="90">
        <f>(1/I16)*(16)*(1/188.76)*'Servente com insumos'!$I$130</f>
        <v>2.6058328035600771</v>
      </c>
      <c r="AK16" s="91" t="str">
        <f>IF(F16="Sim",IF(AL$1="Ok",((1/$I16)*AB16*(AC16/AE16))*$AS$13,""),"-")</f>
        <v>-</v>
      </c>
      <c r="AL16" s="90">
        <f>1/(13*I16)*(16)*(1/188.76)*Encarregado!$I$130</f>
        <v>0.15554672600127145</v>
      </c>
      <c r="AM16" s="90" t="str">
        <f>IF(AL$1="Ok",IF(F$15="Sim",$AR$15/(SUM($AR$12,$AR$13,$AR$14)*$I16)*AB16*(AC16/AE16)*$AS$15,"-"),"")</f>
        <v/>
      </c>
      <c r="AN16" s="90">
        <f t="shared" si="18"/>
        <v>2.7613795295613484</v>
      </c>
      <c r="AO16" s="92">
        <f t="shared" si="19"/>
        <v>0</v>
      </c>
      <c r="AP16" s="91"/>
      <c r="AQ16" s="92">
        <f t="shared" si="20"/>
        <v>0</v>
      </c>
      <c r="AR16" s="90" t="str">
        <f t="shared" si="21"/>
        <v/>
      </c>
      <c r="AS16" s="93">
        <f t="shared" si="22"/>
        <v>0</v>
      </c>
    </row>
    <row r="17" spans="1:45" ht="25.5">
      <c r="A17" s="307"/>
      <c r="B17" s="290"/>
      <c r="C17" s="82" t="s">
        <v>12</v>
      </c>
      <c r="D17" s="290" t="s">
        <v>456</v>
      </c>
      <c r="E17" s="290"/>
      <c r="F17" s="83" t="s">
        <v>428</v>
      </c>
      <c r="G17" s="84">
        <v>495</v>
      </c>
      <c r="H17" s="85" t="s">
        <v>457</v>
      </c>
      <c r="I17" s="84">
        <v>380</v>
      </c>
      <c r="J17" s="84">
        <f>J$102</f>
        <v>0</v>
      </c>
      <c r="K17" s="86" t="s">
        <v>430</v>
      </c>
      <c r="L17" s="87">
        <f t="shared" si="10"/>
        <v>380</v>
      </c>
      <c r="M17" s="84">
        <f>M$102</f>
        <v>0</v>
      </c>
      <c r="N17" s="86" t="s">
        <v>430</v>
      </c>
      <c r="O17" s="87">
        <f t="shared" si="11"/>
        <v>380</v>
      </c>
      <c r="P17" s="84">
        <f>P$102</f>
        <v>0</v>
      </c>
      <c r="Q17" s="88" t="s">
        <v>431</v>
      </c>
      <c r="R17" s="86">
        <f>R$103</f>
        <v>0</v>
      </c>
      <c r="S17" s="86" t="s">
        <v>432</v>
      </c>
      <c r="T17" s="84">
        <f t="shared" ref="T17:T20" si="28">I17</f>
        <v>380</v>
      </c>
      <c r="U17" s="84" t="s">
        <v>433</v>
      </c>
      <c r="V17" s="84">
        <f>V$102</f>
        <v>0</v>
      </c>
      <c r="W17" s="88" t="s">
        <v>431</v>
      </c>
      <c r="X17" s="86">
        <f>X$103</f>
        <v>0</v>
      </c>
      <c r="Y17" s="88" t="s">
        <v>432</v>
      </c>
      <c r="Z17" s="84">
        <f t="shared" ref="Z17:Z20" si="29">I17</f>
        <v>380</v>
      </c>
      <c r="AA17" s="84" t="s">
        <v>433</v>
      </c>
      <c r="AB17" s="84">
        <f t="shared" ref="AB17:AC18" si="30">AB$102</f>
        <v>0</v>
      </c>
      <c r="AC17" s="88">
        <f t="shared" si="30"/>
        <v>0</v>
      </c>
      <c r="AD17" s="88" t="s">
        <v>430</v>
      </c>
      <c r="AE17" s="89">
        <f t="shared" ref="AE17:AE18" si="31">AC$103</f>
        <v>0</v>
      </c>
      <c r="AF17" s="90">
        <f>(G17/I17)*16*(1/188.76)</f>
        <v>0.11041589988958411</v>
      </c>
      <c r="AG17" s="91" t="str">
        <f>IF(F17="Sim",IF(AL$1="Ok",($G17/$I17)*$AB17*($AC17/$AE17),""),"-")</f>
        <v>-</v>
      </c>
      <c r="AH17" s="90">
        <f>(G17/I17)*16*(1/188.76)*(1/13)</f>
        <v>8.4935307607372397E-3</v>
      </c>
      <c r="AI17" s="90" t="str">
        <f>IF(AL$1="Ok",IF(F$15="Sim",($G17/$I17)*$AB17*($AC17/$AE17)*(1/SUM($AR$12,$AR$13,$AR$14)),"-"),"")</f>
        <v/>
      </c>
      <c r="AJ17" s="90">
        <f>(1/I17)*(16)*(1/188.76)*'Servente com insumos'!$I$130</f>
        <v>1.0971927593937165</v>
      </c>
      <c r="AK17" s="91" t="str">
        <f>IF(F17="Sim",IF(AL$1="Ok",((1/$I17)*AB17*(AC17/AE17))*$AS$13,""),"-")</f>
        <v>-</v>
      </c>
      <c r="AL17" s="90">
        <f>1/(13*I17)*(16)*(1/188.76)*Encarregado!$I$130</f>
        <v>6.5493358316324829E-2</v>
      </c>
      <c r="AM17" s="90" t="str">
        <f t="shared" ref="AM17:AM18" si="32">IF(AL$1="Ok",IF(F$15="Sim",$AR$15/(SUM($AR$12,$AR$13,$AR$14)*$I17)*AB17*(AC17/AE17)*$AS$15,"-"),"")</f>
        <v/>
      </c>
      <c r="AN17" s="90">
        <f t="shared" si="18"/>
        <v>1.1626861177100414</v>
      </c>
      <c r="AO17" s="92">
        <f t="shared" si="19"/>
        <v>543.11041589988963</v>
      </c>
      <c r="AP17" s="91"/>
      <c r="AQ17" s="92">
        <f t="shared" si="20"/>
        <v>32.419212366580787</v>
      </c>
      <c r="AR17" s="90" t="str">
        <f t="shared" si="21"/>
        <v/>
      </c>
      <c r="AS17" s="93">
        <f t="shared" si="22"/>
        <v>575.52962826647047</v>
      </c>
    </row>
    <row r="18" spans="1:45" ht="25.5">
      <c r="A18" s="308"/>
      <c r="B18" s="290"/>
      <c r="C18" s="82" t="s">
        <v>12</v>
      </c>
      <c r="D18" s="290" t="s">
        <v>458</v>
      </c>
      <c r="E18" s="290"/>
      <c r="F18" s="83" t="s">
        <v>428</v>
      </c>
      <c r="G18" s="84">
        <v>55</v>
      </c>
      <c r="H18" s="85" t="s">
        <v>457</v>
      </c>
      <c r="I18" s="84">
        <v>380</v>
      </c>
      <c r="J18" s="84">
        <f>J$102</f>
        <v>0</v>
      </c>
      <c r="K18" s="86" t="s">
        <v>430</v>
      </c>
      <c r="L18" s="87">
        <f t="shared" si="10"/>
        <v>380</v>
      </c>
      <c r="M18" s="84">
        <f>M$102</f>
        <v>0</v>
      </c>
      <c r="N18" s="86" t="s">
        <v>430</v>
      </c>
      <c r="O18" s="87">
        <f t="shared" si="11"/>
        <v>380</v>
      </c>
      <c r="P18" s="84">
        <f>P$102</f>
        <v>0</v>
      </c>
      <c r="Q18" s="88" t="s">
        <v>431</v>
      </c>
      <c r="R18" s="86">
        <f>R$103</f>
        <v>0</v>
      </c>
      <c r="S18" s="86" t="s">
        <v>432</v>
      </c>
      <c r="T18" s="84">
        <f t="shared" si="28"/>
        <v>380</v>
      </c>
      <c r="U18" s="84" t="s">
        <v>433</v>
      </c>
      <c r="V18" s="84">
        <f>V$102</f>
        <v>0</v>
      </c>
      <c r="W18" s="88" t="s">
        <v>431</v>
      </c>
      <c r="X18" s="86">
        <f>X$103</f>
        <v>0</v>
      </c>
      <c r="Y18" s="88" t="s">
        <v>432</v>
      </c>
      <c r="Z18" s="84">
        <f t="shared" si="29"/>
        <v>380</v>
      </c>
      <c r="AA18" s="84" t="s">
        <v>433</v>
      </c>
      <c r="AB18" s="84">
        <f t="shared" si="30"/>
        <v>0</v>
      </c>
      <c r="AC18" s="88">
        <f t="shared" si="30"/>
        <v>0</v>
      </c>
      <c r="AD18" s="88" t="s">
        <v>430</v>
      </c>
      <c r="AE18" s="89">
        <f t="shared" si="31"/>
        <v>0</v>
      </c>
      <c r="AF18" s="90">
        <f>(G18/I18)*16*(1/188.76)</f>
        <v>1.2268433321064903E-2</v>
      </c>
      <c r="AG18" s="91" t="str">
        <f>IF(F18="Sim",IF(AL$1="Ok",($G18/$I18)*$AB18*($AC18/$AE18),""),"-")</f>
        <v>-</v>
      </c>
      <c r="AH18" s="90">
        <f t="shared" ref="AH18:AH19" si="33">(G18/I18)*16*(1/188.76)*(1/13)</f>
        <v>9.4372564008191561E-4</v>
      </c>
      <c r="AI18" s="90" t="str">
        <f>IF(AL$1="Ok",IF(F$15="Sim",($G18/$I18)*$AB18*($AC18/$AE18)*(1/SUM($AR$12,$AR$13,$AR$14)),"-"),"")</f>
        <v/>
      </c>
      <c r="AJ18" s="90">
        <f>(1/I18)*(16)*(1/188.76)*'Servente com insumos'!$I$130</f>
        <v>1.0971927593937165</v>
      </c>
      <c r="AK18" s="91" t="str">
        <f>IF(F18="Sim",IF(AL$1="Ok",((1/$I18)*AB18*(AC18/AE18))*$AS$13,""),"-")</f>
        <v>-</v>
      </c>
      <c r="AL18" s="90">
        <f>1/(13*I18)*(16)*(1/188.76)*Encarregado!$I$130</f>
        <v>6.5493358316324829E-2</v>
      </c>
      <c r="AM18" s="90" t="str">
        <f t="shared" si="32"/>
        <v/>
      </c>
      <c r="AN18" s="90">
        <f t="shared" si="18"/>
        <v>1.1626861177100414</v>
      </c>
      <c r="AO18" s="92">
        <f t="shared" si="19"/>
        <v>60.345601766654411</v>
      </c>
      <c r="AP18" s="91"/>
      <c r="AQ18" s="92">
        <f t="shared" si="20"/>
        <v>3.6021347073978656</v>
      </c>
      <c r="AR18" s="90" t="str">
        <f t="shared" si="21"/>
        <v/>
      </c>
      <c r="AS18" s="93">
        <f t="shared" si="22"/>
        <v>63.947736474052277</v>
      </c>
    </row>
    <row r="19" spans="1:45">
      <c r="A19" s="94">
        <v>4</v>
      </c>
      <c r="B19" s="95" t="s">
        <v>459</v>
      </c>
      <c r="C19" s="96" t="s">
        <v>459</v>
      </c>
      <c r="D19" s="290" t="s">
        <v>460</v>
      </c>
      <c r="E19" s="290"/>
      <c r="F19" s="83" t="s">
        <v>428</v>
      </c>
      <c r="G19" s="84">
        <v>0</v>
      </c>
      <c r="H19" s="85" t="s">
        <v>455</v>
      </c>
      <c r="I19" s="84">
        <v>160</v>
      </c>
      <c r="J19" s="84">
        <f>J$102</f>
        <v>0</v>
      </c>
      <c r="K19" s="86" t="s">
        <v>430</v>
      </c>
      <c r="L19" s="87">
        <f t="shared" si="10"/>
        <v>160</v>
      </c>
      <c r="M19" s="84">
        <f>M$102</f>
        <v>0</v>
      </c>
      <c r="N19" s="86" t="s">
        <v>430</v>
      </c>
      <c r="O19" s="87">
        <f t="shared" si="11"/>
        <v>160</v>
      </c>
      <c r="P19" s="84">
        <f>P$102</f>
        <v>0</v>
      </c>
      <c r="Q19" s="88" t="s">
        <v>431</v>
      </c>
      <c r="R19" s="86">
        <f>R$103</f>
        <v>0</v>
      </c>
      <c r="S19" s="86" t="s">
        <v>432</v>
      </c>
      <c r="T19" s="84">
        <f t="shared" si="28"/>
        <v>160</v>
      </c>
      <c r="U19" s="84" t="s">
        <v>433</v>
      </c>
      <c r="V19" s="84">
        <f>V$102</f>
        <v>0</v>
      </c>
      <c r="W19" s="88" t="s">
        <v>431</v>
      </c>
      <c r="X19" s="86">
        <f>X$103</f>
        <v>0</v>
      </c>
      <c r="Y19" s="88" t="s">
        <v>432</v>
      </c>
      <c r="Z19" s="84">
        <f t="shared" si="29"/>
        <v>160</v>
      </c>
      <c r="AA19" s="84" t="s">
        <v>433</v>
      </c>
      <c r="AB19" s="84">
        <f>AB$104</f>
        <v>0</v>
      </c>
      <c r="AC19" s="88">
        <f>AC$104</f>
        <v>0</v>
      </c>
      <c r="AD19" s="88" t="s">
        <v>430</v>
      </c>
      <c r="AE19" s="89">
        <f>AC$105</f>
        <v>0</v>
      </c>
      <c r="AF19" s="90">
        <f t="shared" si="14"/>
        <v>0</v>
      </c>
      <c r="AG19" s="91" t="str">
        <f>IF(F19="Sim",IF(AL$1="Ok",($G19/$I19)*$AB19*($AC19/$AE19),""),"-")</f>
        <v>-</v>
      </c>
      <c r="AH19" s="90">
        <f t="shared" si="33"/>
        <v>0</v>
      </c>
      <c r="AI19" s="90" t="str">
        <f>IF(AL$1="Ok",IF(F$15="Sim",($G19/$I19)*$AB19*($AC19/$AE19)*(1/SUM($AR$12,$AR$13,$AR$14)),"-"),"")</f>
        <v/>
      </c>
      <c r="AJ19" s="90">
        <f>(1/I19)*(8)*(1/1132.6)*'Servente com insumos'!$I$130</f>
        <v>0.21714506445346995</v>
      </c>
      <c r="AK19" s="91" t="str">
        <f>IF(F19="Sim",IF(AL$1="Ok",((1/$I19)*AB19*(AC19/AE19))*$AS$13,""),"-")</f>
        <v>-</v>
      </c>
      <c r="AL19" s="90">
        <f>1/(13*I19)*(8)*(1/1132.6)*Encarregado!$I$130</f>
        <v>1.2961769380187182E-2</v>
      </c>
      <c r="AM19" s="90" t="str">
        <f>IF(AL$1="Ok",IF(F$15="Sim",$AR$15/(SUM($AR$12,$AR$13,$AR$14)*$I19)*AB19*(AC19/AE19)*$AS$15,"-"),"")</f>
        <v/>
      </c>
      <c r="AN19" s="90">
        <f t="shared" si="18"/>
        <v>0.23010683383365713</v>
      </c>
      <c r="AO19" s="92">
        <f t="shared" si="19"/>
        <v>0</v>
      </c>
      <c r="AP19" s="91"/>
      <c r="AQ19" s="92">
        <f t="shared" si="20"/>
        <v>0</v>
      </c>
      <c r="AR19" s="90" t="str">
        <f t="shared" si="21"/>
        <v/>
      </c>
      <c r="AS19" s="93">
        <f t="shared" si="22"/>
        <v>0</v>
      </c>
    </row>
    <row r="20" spans="1:45">
      <c r="A20" s="94">
        <v>5</v>
      </c>
      <c r="B20" s="95" t="s">
        <v>14</v>
      </c>
      <c r="C20" s="96" t="s">
        <v>461</v>
      </c>
      <c r="D20" s="290" t="s">
        <v>462</v>
      </c>
      <c r="E20" s="290"/>
      <c r="F20" s="83" t="s">
        <v>428</v>
      </c>
      <c r="G20" s="84">
        <v>119</v>
      </c>
      <c r="H20" s="85" t="s">
        <v>438</v>
      </c>
      <c r="I20" s="84">
        <v>450</v>
      </c>
      <c r="J20" s="84">
        <f t="shared" ref="J20" si="34">J$100</f>
        <v>0</v>
      </c>
      <c r="K20" s="86" t="s">
        <v>430</v>
      </c>
      <c r="L20" s="87">
        <f t="shared" si="10"/>
        <v>450</v>
      </c>
      <c r="M20" s="84">
        <f>M$100</f>
        <v>0</v>
      </c>
      <c r="N20" s="86" t="s">
        <v>430</v>
      </c>
      <c r="O20" s="87">
        <f t="shared" si="11"/>
        <v>450</v>
      </c>
      <c r="P20" s="84">
        <f>P$100</f>
        <v>0</v>
      </c>
      <c r="Q20" s="88" t="s">
        <v>431</v>
      </c>
      <c r="R20" s="86">
        <f>R$101</f>
        <v>0</v>
      </c>
      <c r="S20" s="86" t="s">
        <v>432</v>
      </c>
      <c r="T20" s="84">
        <f t="shared" si="28"/>
        <v>450</v>
      </c>
      <c r="U20" s="84" t="s">
        <v>433</v>
      </c>
      <c r="V20" s="84">
        <f>V$100</f>
        <v>0</v>
      </c>
      <c r="W20" s="88" t="s">
        <v>431</v>
      </c>
      <c r="X20" s="86">
        <f>X$101</f>
        <v>0</v>
      </c>
      <c r="Y20" s="88" t="s">
        <v>432</v>
      </c>
      <c r="Z20" s="84">
        <f t="shared" si="29"/>
        <v>450</v>
      </c>
      <c r="AA20" s="84" t="s">
        <v>433</v>
      </c>
      <c r="AB20" s="84">
        <f t="shared" ref="AB20:AC20" si="35">AB$100</f>
        <v>0</v>
      </c>
      <c r="AC20" s="88">
        <f t="shared" si="35"/>
        <v>0</v>
      </c>
      <c r="AD20" s="88" t="s">
        <v>430</v>
      </c>
      <c r="AE20" s="89">
        <f t="shared" ref="AE20" si="36">AC$101</f>
        <v>0</v>
      </c>
      <c r="AF20" s="90">
        <f t="shared" si="14"/>
        <v>0.26444444444444443</v>
      </c>
      <c r="AG20" s="91" t="str">
        <f>IF(F20="Sim",IF(AL$1="Ok",$G20/$I20,""),"-")</f>
        <v>-</v>
      </c>
      <c r="AH20" s="90">
        <f t="shared" si="15"/>
        <v>2.0341880341880343E-2</v>
      </c>
      <c r="AI20" s="90" t="str">
        <f>IF(AL$1="Ok",IF(F$15="Sim",($G20/$I20)*(1/SUM($AR$12,$AR$13,$AR$14)),"-"),"")</f>
        <v/>
      </c>
      <c r="AJ20" s="90">
        <f>(1/I20)*'Servente com insumos'!$I$130</f>
        <v>10.9306</v>
      </c>
      <c r="AK20" s="91" t="str">
        <f>IF(F20="Sim",IF(AL$1="Ok",(1/$I20)*$AS$13,""),"-")</f>
        <v>-</v>
      </c>
      <c r="AL20" s="90">
        <f>1/(13*I20)*Encarregado!$I$130</f>
        <v>0.65246666666666664</v>
      </c>
      <c r="AM20" s="90" t="str">
        <f t="shared" ref="AM20" si="37">IF(AL$1="Ok",IF(F$15="Sim",$AR$15/(SUM($AR$12,$AR$13,$AR$14)*$I20)*$AS$15,"-"),"")</f>
        <v/>
      </c>
      <c r="AN20" s="97">
        <f t="shared" si="18"/>
        <v>11.583066666666667</v>
      </c>
      <c r="AO20" s="92">
        <f t="shared" si="19"/>
        <v>1300.7414000000001</v>
      </c>
      <c r="AP20" s="91"/>
      <c r="AQ20" s="92">
        <f t="shared" si="20"/>
        <v>77.643533333333323</v>
      </c>
      <c r="AR20" s="90" t="str">
        <f t="shared" si="21"/>
        <v/>
      </c>
      <c r="AS20" s="93">
        <f t="shared" si="22"/>
        <v>1378.3849333333335</v>
      </c>
    </row>
    <row r="21" spans="1:45">
      <c r="A21" s="98"/>
      <c r="B21" s="285" t="s">
        <v>463</v>
      </c>
      <c r="C21" s="285"/>
      <c r="D21" s="285"/>
      <c r="E21" s="285"/>
      <c r="F21" s="78"/>
      <c r="G21" s="99">
        <f>SUM(G3:G20)</f>
        <v>20097</v>
      </c>
      <c r="H21" s="99" t="s">
        <v>22</v>
      </c>
      <c r="I21" s="99"/>
      <c r="J21" s="99"/>
      <c r="K21" s="99"/>
      <c r="L21" s="99"/>
      <c r="M21" s="99"/>
      <c r="N21" s="99"/>
      <c r="O21" s="99"/>
      <c r="P21" s="99"/>
      <c r="Q21" s="99"/>
      <c r="R21" s="99"/>
      <c r="S21" s="99"/>
      <c r="T21" s="99"/>
      <c r="U21" s="99"/>
      <c r="V21" s="99"/>
      <c r="W21" s="99"/>
      <c r="X21" s="99"/>
      <c r="Y21" s="99"/>
      <c r="Z21" s="99"/>
      <c r="AA21" s="99"/>
      <c r="AB21" s="99" t="s">
        <v>22</v>
      </c>
      <c r="AC21" s="312" t="s">
        <v>22</v>
      </c>
      <c r="AD21" s="312"/>
      <c r="AE21" s="312"/>
      <c r="AF21" s="100">
        <f t="shared" ref="AF21:AR21" si="38">SUM(AF3:AF20)</f>
        <v>10.999791740618058</v>
      </c>
      <c r="AG21" s="100">
        <f t="shared" si="38"/>
        <v>2</v>
      </c>
      <c r="AH21" s="100">
        <f t="shared" si="38"/>
        <v>0.99998398004754274</v>
      </c>
      <c r="AI21" s="100">
        <f t="shared" si="38"/>
        <v>0</v>
      </c>
      <c r="AJ21" s="100">
        <f t="shared" si="38"/>
        <v>66.920994720134303</v>
      </c>
      <c r="AK21" s="100">
        <f t="shared" si="38"/>
        <v>44.699088333333336</v>
      </c>
      <c r="AL21" s="100">
        <f>SUM(AL3:AL20)</f>
        <v>6.88179643423633</v>
      </c>
      <c r="AM21" s="100">
        <f t="shared" si="38"/>
        <v>0</v>
      </c>
      <c r="AN21" s="100">
        <f t="shared" si="38"/>
        <v>118.50187948770399</v>
      </c>
      <c r="AO21" s="101">
        <f t="shared" si="38"/>
        <v>54105.445619999875</v>
      </c>
      <c r="AP21" s="101">
        <f t="shared" si="38"/>
        <v>9091.34</v>
      </c>
      <c r="AQ21" s="100">
        <f t="shared" si="38"/>
        <v>3816.868852962868</v>
      </c>
      <c r="AR21" s="102">
        <f t="shared" si="38"/>
        <v>0</v>
      </c>
      <c r="AS21" s="196">
        <f>SUM(AS3:AS20)</f>
        <v>67013.654472962735</v>
      </c>
    </row>
    <row r="24" spans="1:45">
      <c r="D24" s="50" t="s">
        <v>3</v>
      </c>
      <c r="E24" s="50" t="s">
        <v>464</v>
      </c>
      <c r="F24" s="50" t="s">
        <v>465</v>
      </c>
      <c r="G24" s="50" t="s">
        <v>466</v>
      </c>
    </row>
    <row r="25" spans="1:45">
      <c r="D25" s="103" t="s">
        <v>8</v>
      </c>
      <c r="E25" s="49" t="s">
        <v>9</v>
      </c>
      <c r="F25" s="195">
        <f>SUM(G3:G12)</f>
        <v>8219</v>
      </c>
      <c r="G25" s="59">
        <f>SUM(AS3:AS12)/F25</f>
        <v>6.3656038341241841</v>
      </c>
    </row>
    <row r="26" spans="1:45">
      <c r="D26" s="45" t="s">
        <v>10</v>
      </c>
      <c r="E26" s="49" t="s">
        <v>9</v>
      </c>
      <c r="F26" s="194">
        <f>SUM(G13:G15)</f>
        <v>11209</v>
      </c>
      <c r="G26" s="59">
        <f>SUM(AS13:AS15)/F26</f>
        <v>1.1309567545920443</v>
      </c>
    </row>
    <row r="27" spans="1:45">
      <c r="D27" s="45" t="s">
        <v>12</v>
      </c>
      <c r="E27" s="49" t="s">
        <v>9</v>
      </c>
      <c r="F27" s="194">
        <f>SUM(G16:G18)</f>
        <v>550</v>
      </c>
      <c r="G27" s="59">
        <f>SUM(AS16:AS18)/F27</f>
        <v>1.1626861177100414</v>
      </c>
    </row>
    <row r="28" spans="1:45">
      <c r="D28" s="45" t="s">
        <v>14</v>
      </c>
      <c r="E28" s="49" t="s">
        <v>9</v>
      </c>
      <c r="F28" s="194">
        <f>SUM(G19:G20)</f>
        <v>119</v>
      </c>
      <c r="G28" s="59">
        <f>SUM(AS20)/F28</f>
        <v>11.583066666666667</v>
      </c>
    </row>
  </sheetData>
  <mergeCells count="44">
    <mergeCell ref="D20:E20"/>
    <mergeCell ref="B21:E21"/>
    <mergeCell ref="AC21:AE21"/>
    <mergeCell ref="A16:A18"/>
    <mergeCell ref="B16:B18"/>
    <mergeCell ref="D16:E16"/>
    <mergeCell ref="D17:E17"/>
    <mergeCell ref="D18:E18"/>
    <mergeCell ref="D19:E19"/>
    <mergeCell ref="D11:E11"/>
    <mergeCell ref="D12:E12"/>
    <mergeCell ref="A13:A15"/>
    <mergeCell ref="B13:B15"/>
    <mergeCell ref="D13:E13"/>
    <mergeCell ref="D14:E14"/>
    <mergeCell ref="D15:E15"/>
    <mergeCell ref="A3:A12"/>
    <mergeCell ref="B3:B12"/>
    <mergeCell ref="D3:E3"/>
    <mergeCell ref="D4:E4"/>
    <mergeCell ref="D5:E5"/>
    <mergeCell ref="D6:E6"/>
    <mergeCell ref="D7:E7"/>
    <mergeCell ref="D8:E8"/>
    <mergeCell ref="D9:E9"/>
    <mergeCell ref="D10:E10"/>
    <mergeCell ref="AJ1:AN1"/>
    <mergeCell ref="AO1:AS1"/>
    <mergeCell ref="J2:L2"/>
    <mergeCell ref="M2:O2"/>
    <mergeCell ref="P2:U2"/>
    <mergeCell ref="V2:AA2"/>
    <mergeCell ref="H1:H2"/>
    <mergeCell ref="I1:I2"/>
    <mergeCell ref="J1:AA1"/>
    <mergeCell ref="AB1:AB2"/>
    <mergeCell ref="AC1:AE2"/>
    <mergeCell ref="AF1:AI1"/>
    <mergeCell ref="G1:G2"/>
    <mergeCell ref="A1:A2"/>
    <mergeCell ref="B1:B2"/>
    <mergeCell ref="C1:C2"/>
    <mergeCell ref="D1:E2"/>
    <mergeCell ref="F1:F2"/>
  </mergeCells>
  <dataValidations count="1">
    <dataValidation allowBlank="1" showInputMessage="1" showErrorMessage="1" sqref="AF3:AF20 AO3:AO20" xr:uid="{5017DA15-B89C-4904-ABB6-7A1A8816CE21}"/>
  </dataValidations>
  <pageMargins left="0.511811024" right="0.511811024" top="0.78740157499999996" bottom="0.78740157499999996" header="0.31496062000000002" footer="0.31496062000000002"/>
  <pageSetup paperSize="9" scale="5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6677-65A4-405E-8871-D4F798386C28}">
  <dimension ref="A1:AS32"/>
  <sheetViews>
    <sheetView workbookViewId="0">
      <selection activeCell="AL18" sqref="AL18"/>
    </sheetView>
  </sheetViews>
  <sheetFormatPr defaultRowHeight="12.75"/>
  <cols>
    <col min="1" max="1" width="5.140625" customWidth="1"/>
    <col min="2" max="2" width="5.7109375" customWidth="1"/>
    <col min="3" max="3" width="9.7109375" customWidth="1"/>
    <col min="4" max="4" width="25.85546875" customWidth="1"/>
    <col min="5" max="5" width="10.28515625" customWidth="1"/>
    <col min="6" max="6" width="12.7109375" customWidth="1"/>
    <col min="7" max="7" width="12.28515625" customWidth="1"/>
    <col min="8" max="8" width="12.42578125" customWidth="1"/>
    <col min="9" max="9" width="10.28515625" customWidth="1"/>
    <col min="10" max="31" width="0" hidden="1" customWidth="1"/>
    <col min="32" max="35" width="10.28515625" customWidth="1"/>
    <col min="36" max="37" width="10.85546875" customWidth="1"/>
    <col min="38" max="40" width="10.28515625" customWidth="1"/>
    <col min="41" max="41" width="12.85546875" bestFit="1" customWidth="1"/>
    <col min="42" max="44" width="10.28515625" customWidth="1"/>
    <col min="45" max="45" width="18.7109375" bestFit="1" customWidth="1"/>
  </cols>
  <sheetData>
    <row r="1" spans="1:45">
      <c r="A1" s="284" t="s">
        <v>2</v>
      </c>
      <c r="B1" s="285" t="s">
        <v>385</v>
      </c>
      <c r="C1" s="286" t="s">
        <v>385</v>
      </c>
      <c r="D1" s="287" t="s">
        <v>407</v>
      </c>
      <c r="E1" s="287"/>
      <c r="F1" s="288" t="s">
        <v>408</v>
      </c>
      <c r="G1" s="298" t="s">
        <v>409</v>
      </c>
      <c r="H1" s="298" t="s">
        <v>410</v>
      </c>
      <c r="I1" s="299" t="s">
        <v>411</v>
      </c>
      <c r="J1" s="296" t="s">
        <v>412</v>
      </c>
      <c r="K1" s="297"/>
      <c r="L1" s="297"/>
      <c r="M1" s="297"/>
      <c r="N1" s="297"/>
      <c r="O1" s="297"/>
      <c r="P1" s="297"/>
      <c r="Q1" s="297"/>
      <c r="R1" s="297"/>
      <c r="S1" s="297"/>
      <c r="T1" s="297"/>
      <c r="U1" s="297"/>
      <c r="V1" s="297"/>
      <c r="W1" s="297"/>
      <c r="X1" s="297"/>
      <c r="Y1" s="297"/>
      <c r="Z1" s="297"/>
      <c r="AA1" s="297"/>
      <c r="AB1" s="300" t="s">
        <v>413</v>
      </c>
      <c r="AC1" s="302" t="s">
        <v>414</v>
      </c>
      <c r="AD1" s="303"/>
      <c r="AE1" s="303"/>
      <c r="AF1" s="298" t="s">
        <v>415</v>
      </c>
      <c r="AG1" s="298"/>
      <c r="AH1" s="298"/>
      <c r="AI1" s="298"/>
      <c r="AJ1" s="291" t="s">
        <v>416</v>
      </c>
      <c r="AK1" s="291"/>
      <c r="AL1" s="291"/>
      <c r="AM1" s="291"/>
      <c r="AN1" s="292"/>
      <c r="AO1" s="293" t="s">
        <v>417</v>
      </c>
      <c r="AP1" s="294"/>
      <c r="AQ1" s="294"/>
      <c r="AR1" s="294"/>
      <c r="AS1" s="295"/>
    </row>
    <row r="2" spans="1:45" ht="51">
      <c r="A2" s="284"/>
      <c r="B2" s="285"/>
      <c r="C2" s="286"/>
      <c r="D2" s="287"/>
      <c r="E2" s="287"/>
      <c r="F2" s="289"/>
      <c r="G2" s="298"/>
      <c r="H2" s="298"/>
      <c r="I2" s="299"/>
      <c r="J2" s="296" t="e">
        <f>#REF!</f>
        <v>#REF!</v>
      </c>
      <c r="K2" s="297"/>
      <c r="L2" s="297"/>
      <c r="M2" s="297" t="e">
        <f>#REF!</f>
        <v>#REF!</v>
      </c>
      <c r="N2" s="297"/>
      <c r="O2" s="297"/>
      <c r="P2" s="297" t="e">
        <f>#REF!</f>
        <v>#REF!</v>
      </c>
      <c r="Q2" s="297"/>
      <c r="R2" s="297"/>
      <c r="S2" s="297"/>
      <c r="T2" s="297"/>
      <c r="U2" s="297"/>
      <c r="V2" s="297" t="e">
        <f>#REF!</f>
        <v>#REF!</v>
      </c>
      <c r="W2" s="297"/>
      <c r="X2" s="297"/>
      <c r="Y2" s="297"/>
      <c r="Z2" s="297"/>
      <c r="AA2" s="297"/>
      <c r="AB2" s="301"/>
      <c r="AC2" s="304"/>
      <c r="AD2" s="305"/>
      <c r="AE2" s="301"/>
      <c r="AF2" s="79" t="s">
        <v>418</v>
      </c>
      <c r="AG2" s="79" t="s">
        <v>419</v>
      </c>
      <c r="AH2" s="79" t="s">
        <v>420</v>
      </c>
      <c r="AI2" s="79" t="s">
        <v>421</v>
      </c>
      <c r="AJ2" s="77" t="s">
        <v>422</v>
      </c>
      <c r="AK2" s="77" t="s">
        <v>423</v>
      </c>
      <c r="AL2" s="77" t="s">
        <v>424</v>
      </c>
      <c r="AM2" s="77" t="s">
        <v>425</v>
      </c>
      <c r="AN2" s="77" t="s">
        <v>201</v>
      </c>
      <c r="AO2" s="80" t="s">
        <v>44</v>
      </c>
      <c r="AP2" s="77" t="s">
        <v>426</v>
      </c>
      <c r="AQ2" s="80" t="s">
        <v>200</v>
      </c>
      <c r="AR2" s="81" t="s">
        <v>202</v>
      </c>
      <c r="AS2" s="80" t="s">
        <v>201</v>
      </c>
    </row>
    <row r="3" spans="1:45" ht="25.5">
      <c r="A3" s="309">
        <v>1</v>
      </c>
      <c r="B3" s="290" t="s">
        <v>8</v>
      </c>
      <c r="C3" s="82" t="s">
        <v>8</v>
      </c>
      <c r="D3" s="290" t="s">
        <v>427</v>
      </c>
      <c r="E3" s="290"/>
      <c r="F3" s="83" t="s">
        <v>428</v>
      </c>
      <c r="G3" s="84">
        <v>215</v>
      </c>
      <c r="H3" s="85" t="s">
        <v>429</v>
      </c>
      <c r="I3" s="84">
        <v>1200</v>
      </c>
      <c r="J3" s="84">
        <f t="shared" ref="J3:J12" si="0">J$100</f>
        <v>0</v>
      </c>
      <c r="K3" s="86" t="s">
        <v>430</v>
      </c>
      <c r="L3" s="87">
        <f>I3</f>
        <v>1200</v>
      </c>
      <c r="M3" s="84">
        <f t="shared" ref="M3:M12" si="1">M$100</f>
        <v>0</v>
      </c>
      <c r="N3" s="86" t="s">
        <v>430</v>
      </c>
      <c r="O3" s="87">
        <f>I3</f>
        <v>1200</v>
      </c>
      <c r="P3" s="84">
        <f t="shared" ref="P3:P12" si="2">P$100</f>
        <v>0</v>
      </c>
      <c r="Q3" s="88" t="s">
        <v>431</v>
      </c>
      <c r="R3" s="86">
        <f t="shared" ref="R3:R12" si="3">R$101</f>
        <v>0</v>
      </c>
      <c r="S3" s="86" t="s">
        <v>432</v>
      </c>
      <c r="T3" s="84">
        <f>I3</f>
        <v>1200</v>
      </c>
      <c r="U3" s="84" t="s">
        <v>433</v>
      </c>
      <c r="V3" s="84">
        <f t="shared" ref="V3:V12" si="4">V$100</f>
        <v>0</v>
      </c>
      <c r="W3" s="88" t="s">
        <v>431</v>
      </c>
      <c r="X3" s="86">
        <f t="shared" ref="X3:X12" si="5">X$101</f>
        <v>0</v>
      </c>
      <c r="Y3" s="88" t="s">
        <v>432</v>
      </c>
      <c r="Z3" s="84">
        <f>I3</f>
        <v>1200</v>
      </c>
      <c r="AA3" s="84" t="s">
        <v>433</v>
      </c>
      <c r="AB3" s="84">
        <f t="shared" ref="AB3:AC15" si="6">AB$100</f>
        <v>0</v>
      </c>
      <c r="AC3" s="88">
        <f t="shared" si="6"/>
        <v>0</v>
      </c>
      <c r="AD3" s="88" t="s">
        <v>430</v>
      </c>
      <c r="AE3" s="89">
        <f t="shared" ref="AE3:AE12" si="7">AC$101</f>
        <v>0</v>
      </c>
      <c r="AF3" s="90">
        <f>G3/I3</f>
        <v>0.17916666666666667</v>
      </c>
      <c r="AG3" s="91" t="str">
        <f t="shared" ref="AG3:AG15" si="8">IF(F3="Sim",IF(AL$1="Ok",$G3/$I3,""),"-")</f>
        <v>-</v>
      </c>
      <c r="AH3" s="90">
        <f>(G3/I3)*(1/13)</f>
        <v>1.3782051282051283E-2</v>
      </c>
      <c r="AI3" s="90" t="str">
        <f>IF(AL$1="Ok",IF(F$15="Sim",($G3/$I3)*(1/SUM($AR$12,$AR$13,$AR$14)),"-"),"")</f>
        <v/>
      </c>
      <c r="AJ3" s="90">
        <f>(1/I3)*'Servente com insumos'!$I$130</f>
        <v>4.0989750000000003</v>
      </c>
      <c r="AK3" s="90" t="str">
        <f t="shared" ref="AK3:AK15" si="9">IF(F3="Sim",IF(AL$1="Ok",(1/$I3)*$AS$13,""),"-")</f>
        <v>-</v>
      </c>
      <c r="AL3" s="90">
        <f>1/(13*I3)*'encarregado sem insumos'!$I$130</f>
        <v>0.22520064102564102</v>
      </c>
      <c r="AM3" s="90" t="str">
        <f>IF(AL$1="Ok",IF(F$15="Sim",$AR$15/(SUM($AR$12,$AR$13,$AR$14)*$I3)*$AS$15,"-"),"")</f>
        <v/>
      </c>
      <c r="AN3" s="90">
        <f>SUM(AJ3:AM3)</f>
        <v>4.3241756410256409</v>
      </c>
      <c r="AO3" s="92">
        <f>G3*AJ3</f>
        <v>881.27962500000001</v>
      </c>
      <c r="AP3" s="91"/>
      <c r="AQ3" s="92">
        <f>G3*AL3</f>
        <v>48.418137820512818</v>
      </c>
      <c r="AR3" s="90" t="str">
        <f>IF(AL$1="Ok",IF(F$15="Sim",$G3*AM3,"-"),"")</f>
        <v/>
      </c>
      <c r="AS3" s="93">
        <f>SUM(AO3:AR3)</f>
        <v>929.69776282051282</v>
      </c>
    </row>
    <row r="4" spans="1:45" ht="25.5">
      <c r="A4" s="310"/>
      <c r="B4" s="290"/>
      <c r="C4" s="82" t="s">
        <v>8</v>
      </c>
      <c r="D4" s="290" t="s">
        <v>434</v>
      </c>
      <c r="E4" s="290"/>
      <c r="F4" s="83" t="s">
        <v>428</v>
      </c>
      <c r="G4" s="84">
        <v>4220</v>
      </c>
      <c r="H4" s="85" t="s">
        <v>429</v>
      </c>
      <c r="I4" s="84">
        <v>1200</v>
      </c>
      <c r="J4" s="84">
        <f t="shared" si="0"/>
        <v>0</v>
      </c>
      <c r="K4" s="86" t="s">
        <v>430</v>
      </c>
      <c r="L4" s="87">
        <f t="shared" ref="L4:L20" si="10">I4</f>
        <v>1200</v>
      </c>
      <c r="M4" s="84">
        <f t="shared" si="1"/>
        <v>0</v>
      </c>
      <c r="N4" s="86" t="s">
        <v>430</v>
      </c>
      <c r="O4" s="87">
        <f t="shared" ref="O4:O20" si="11">I4</f>
        <v>1200</v>
      </c>
      <c r="P4" s="84">
        <f t="shared" si="2"/>
        <v>0</v>
      </c>
      <c r="Q4" s="88" t="s">
        <v>431</v>
      </c>
      <c r="R4" s="86">
        <f t="shared" si="3"/>
        <v>0</v>
      </c>
      <c r="S4" s="86" t="s">
        <v>432</v>
      </c>
      <c r="T4" s="84">
        <f t="shared" ref="T4:T15" si="12">I4</f>
        <v>1200</v>
      </c>
      <c r="U4" s="84" t="s">
        <v>433</v>
      </c>
      <c r="V4" s="84">
        <f t="shared" si="4"/>
        <v>0</v>
      </c>
      <c r="W4" s="88" t="s">
        <v>431</v>
      </c>
      <c r="X4" s="86">
        <f t="shared" si="5"/>
        <v>0</v>
      </c>
      <c r="Y4" s="88" t="s">
        <v>432</v>
      </c>
      <c r="Z4" s="84">
        <f t="shared" ref="Z4:Z15" si="13">I4</f>
        <v>1200</v>
      </c>
      <c r="AA4" s="84" t="s">
        <v>433</v>
      </c>
      <c r="AB4" s="84">
        <f t="shared" si="6"/>
        <v>0</v>
      </c>
      <c r="AC4" s="88">
        <f t="shared" si="6"/>
        <v>0</v>
      </c>
      <c r="AD4" s="88" t="s">
        <v>430</v>
      </c>
      <c r="AE4" s="89">
        <f t="shared" si="7"/>
        <v>0</v>
      </c>
      <c r="AF4" s="90">
        <f t="shared" ref="AF4:AF20" si="14">G4/I4</f>
        <v>3.5166666666666666</v>
      </c>
      <c r="AG4" s="91" t="str">
        <f t="shared" si="8"/>
        <v>-</v>
      </c>
      <c r="AH4" s="90">
        <f t="shared" ref="AH4:AH20" si="15">(G4/I4)*(1/13)</f>
        <v>0.27051282051282055</v>
      </c>
      <c r="AI4" s="90" t="str">
        <f t="shared" ref="AI4:AI15" si="16">IF(AL$1="Ok",IF(F$15="Sim",($G4/$I4)*(1/SUM($AR$12,$AR$13,$AR$14)),"-"),"")</f>
        <v/>
      </c>
      <c r="AJ4" s="90">
        <f>(1/I4)*'Servente com insumos'!$I$130</f>
        <v>4.0989750000000003</v>
      </c>
      <c r="AK4" s="91" t="str">
        <f t="shared" si="9"/>
        <v>-</v>
      </c>
      <c r="AL4" s="90">
        <f>1/(13*I4)*'encarregado sem insumos'!$I$130</f>
        <v>0.22520064102564102</v>
      </c>
      <c r="AM4" s="90" t="str">
        <f t="shared" ref="AM4:AM15" si="17">IF(AL$1="Ok",IF(F$15="Sim",$AR$15/(SUM($AR$12,$AR$13,$AR$14)*$I4)*$AS$15,"-"),"")</f>
        <v/>
      </c>
      <c r="AN4" s="90">
        <f t="shared" ref="AN4:AN20" si="18">SUM(AJ4:AM4)</f>
        <v>4.3241756410256409</v>
      </c>
      <c r="AO4" s="92">
        <f t="shared" ref="AO4:AO20" si="19">G4*AJ4</f>
        <v>17297.674500000001</v>
      </c>
      <c r="AP4" s="91"/>
      <c r="AQ4" s="92">
        <f t="shared" ref="AQ4:AQ20" si="20">G4*AL4</f>
        <v>950.34670512820514</v>
      </c>
      <c r="AR4" s="90" t="str">
        <f t="shared" ref="AR4:AR20" si="21">IF(AL$1="Ok",IF(F$15="Sim",$G4*AM4,"-"),"")</f>
        <v/>
      </c>
      <c r="AS4" s="93">
        <f t="shared" ref="AS4:AS20" si="22">SUM(AO4:AR4)</f>
        <v>18248.021205128207</v>
      </c>
    </row>
    <row r="5" spans="1:45" ht="25.5">
      <c r="A5" s="310"/>
      <c r="B5" s="290"/>
      <c r="C5" s="82" t="s">
        <v>8</v>
      </c>
      <c r="D5" s="290" t="s">
        <v>435</v>
      </c>
      <c r="E5" s="290"/>
      <c r="F5" s="83" t="s">
        <v>436</v>
      </c>
      <c r="G5" s="84">
        <v>0</v>
      </c>
      <c r="H5" s="85" t="s">
        <v>429</v>
      </c>
      <c r="I5" s="84">
        <v>1200</v>
      </c>
      <c r="J5" s="84">
        <f t="shared" si="0"/>
        <v>0</v>
      </c>
      <c r="K5" s="86" t="s">
        <v>430</v>
      </c>
      <c r="L5" s="87">
        <f t="shared" si="10"/>
        <v>1200</v>
      </c>
      <c r="M5" s="84">
        <f t="shared" si="1"/>
        <v>0</v>
      </c>
      <c r="N5" s="86" t="s">
        <v>430</v>
      </c>
      <c r="O5" s="87">
        <f t="shared" si="11"/>
        <v>1200</v>
      </c>
      <c r="P5" s="84">
        <f t="shared" si="2"/>
        <v>0</v>
      </c>
      <c r="Q5" s="88" t="s">
        <v>431</v>
      </c>
      <c r="R5" s="86">
        <f t="shared" si="3"/>
        <v>0</v>
      </c>
      <c r="S5" s="86" t="s">
        <v>432</v>
      </c>
      <c r="T5" s="84">
        <f t="shared" si="12"/>
        <v>1200</v>
      </c>
      <c r="U5" s="84" t="s">
        <v>433</v>
      </c>
      <c r="V5" s="84">
        <f t="shared" si="4"/>
        <v>0</v>
      </c>
      <c r="W5" s="88" t="s">
        <v>431</v>
      </c>
      <c r="X5" s="86">
        <f t="shared" si="5"/>
        <v>0</v>
      </c>
      <c r="Y5" s="88" t="s">
        <v>432</v>
      </c>
      <c r="Z5" s="84">
        <f t="shared" si="13"/>
        <v>1200</v>
      </c>
      <c r="AA5" s="84" t="s">
        <v>433</v>
      </c>
      <c r="AB5" s="84">
        <f t="shared" si="6"/>
        <v>0</v>
      </c>
      <c r="AC5" s="88">
        <f t="shared" si="6"/>
        <v>0</v>
      </c>
      <c r="AD5" s="88" t="s">
        <v>430</v>
      </c>
      <c r="AE5" s="89">
        <f t="shared" si="7"/>
        <v>0</v>
      </c>
      <c r="AF5" s="90">
        <f t="shared" si="14"/>
        <v>0</v>
      </c>
      <c r="AG5" s="91" t="str">
        <f t="shared" si="8"/>
        <v/>
      </c>
      <c r="AH5" s="90">
        <f t="shared" si="15"/>
        <v>0</v>
      </c>
      <c r="AI5" s="90" t="str">
        <f t="shared" si="16"/>
        <v/>
      </c>
      <c r="AJ5" s="90"/>
      <c r="AK5" s="90">
        <f>(1/I5)*'Servente com insalubridade'!$I$130</f>
        <v>3.7880583333333337</v>
      </c>
      <c r="AL5" s="90">
        <f>1/(13*I5)*'encarregado sem insumos'!$I$130</f>
        <v>0.22520064102564102</v>
      </c>
      <c r="AM5" s="90" t="str">
        <f t="shared" si="17"/>
        <v/>
      </c>
      <c r="AN5" s="90">
        <f t="shared" ref="AN5" si="23">SUM(AJ5:AM5)</f>
        <v>4.0132589743589744</v>
      </c>
      <c r="AO5" s="92">
        <f t="shared" si="19"/>
        <v>0</v>
      </c>
      <c r="AP5" s="91">
        <f t="shared" ref="AP5:AP12" si="24">G5*AK5</f>
        <v>0</v>
      </c>
      <c r="AQ5" s="92">
        <f t="shared" si="20"/>
        <v>0</v>
      </c>
      <c r="AR5" s="90" t="str">
        <f t="shared" si="21"/>
        <v/>
      </c>
      <c r="AS5" s="93">
        <f t="shared" ref="AS5" si="25">SUM(AO5:AR5)</f>
        <v>0</v>
      </c>
    </row>
    <row r="6" spans="1:45" ht="25.5">
      <c r="A6" s="310"/>
      <c r="B6" s="290"/>
      <c r="C6" s="82" t="s">
        <v>8</v>
      </c>
      <c r="D6" s="290" t="s">
        <v>437</v>
      </c>
      <c r="E6" s="290"/>
      <c r="F6" s="83" t="s">
        <v>428</v>
      </c>
      <c r="G6" s="84">
        <v>1476</v>
      </c>
      <c r="H6" s="85" t="s">
        <v>438</v>
      </c>
      <c r="I6" s="84">
        <v>450</v>
      </c>
      <c r="J6" s="84">
        <f t="shared" si="0"/>
        <v>0</v>
      </c>
      <c r="K6" s="86" t="s">
        <v>430</v>
      </c>
      <c r="L6" s="87">
        <f t="shared" si="10"/>
        <v>450</v>
      </c>
      <c r="M6" s="84">
        <f t="shared" si="1"/>
        <v>0</v>
      </c>
      <c r="N6" s="86" t="s">
        <v>430</v>
      </c>
      <c r="O6" s="87">
        <f t="shared" si="11"/>
        <v>450</v>
      </c>
      <c r="P6" s="84">
        <f t="shared" si="2"/>
        <v>0</v>
      </c>
      <c r="Q6" s="88" t="s">
        <v>431</v>
      </c>
      <c r="R6" s="86">
        <f t="shared" si="3"/>
        <v>0</v>
      </c>
      <c r="S6" s="86" t="s">
        <v>432</v>
      </c>
      <c r="T6" s="84">
        <f t="shared" si="12"/>
        <v>450</v>
      </c>
      <c r="U6" s="84" t="s">
        <v>433</v>
      </c>
      <c r="V6" s="84">
        <f t="shared" si="4"/>
        <v>0</v>
      </c>
      <c r="W6" s="88" t="s">
        <v>431</v>
      </c>
      <c r="X6" s="86">
        <f t="shared" si="5"/>
        <v>0</v>
      </c>
      <c r="Y6" s="88" t="s">
        <v>432</v>
      </c>
      <c r="Z6" s="84">
        <f t="shared" si="13"/>
        <v>450</v>
      </c>
      <c r="AA6" s="84" t="s">
        <v>433</v>
      </c>
      <c r="AB6" s="84">
        <f t="shared" si="6"/>
        <v>0</v>
      </c>
      <c r="AC6" s="88">
        <f t="shared" si="6"/>
        <v>0</v>
      </c>
      <c r="AD6" s="88" t="s">
        <v>430</v>
      </c>
      <c r="AE6" s="89">
        <f t="shared" si="7"/>
        <v>0</v>
      </c>
      <c r="AF6" s="90">
        <f t="shared" si="14"/>
        <v>3.28</v>
      </c>
      <c r="AG6" s="91" t="str">
        <f t="shared" si="8"/>
        <v>-</v>
      </c>
      <c r="AH6" s="90">
        <f t="shared" si="15"/>
        <v>0.25230769230769229</v>
      </c>
      <c r="AI6" s="90" t="str">
        <f t="shared" si="16"/>
        <v/>
      </c>
      <c r="AJ6" s="90">
        <f>(1/I6)*'Servente com insumos'!$I$130</f>
        <v>10.9306</v>
      </c>
      <c r="AK6" s="90">
        <v>0</v>
      </c>
      <c r="AL6" s="90">
        <f>1/(13*I6)*'encarregado sem insumos'!$I$130</f>
        <v>0.60053504273504277</v>
      </c>
      <c r="AM6" s="90" t="str">
        <f t="shared" si="17"/>
        <v/>
      </c>
      <c r="AN6" s="90">
        <f t="shared" si="18"/>
        <v>11.531135042735043</v>
      </c>
      <c r="AO6" s="92">
        <f t="shared" si="19"/>
        <v>16133.5656</v>
      </c>
      <c r="AP6" s="91">
        <f t="shared" si="24"/>
        <v>0</v>
      </c>
      <c r="AQ6" s="92">
        <f t="shared" si="20"/>
        <v>886.38972307692313</v>
      </c>
      <c r="AR6" s="90" t="str">
        <f t="shared" si="21"/>
        <v/>
      </c>
      <c r="AS6" s="93">
        <f t="shared" si="22"/>
        <v>17019.955323076923</v>
      </c>
    </row>
    <row r="7" spans="1:45" ht="25.5">
      <c r="A7" s="310"/>
      <c r="B7" s="290"/>
      <c r="C7" s="82" t="s">
        <v>8</v>
      </c>
      <c r="D7" s="290" t="s">
        <v>439</v>
      </c>
      <c r="E7" s="290"/>
      <c r="F7" s="83" t="s">
        <v>428</v>
      </c>
      <c r="G7" s="84">
        <v>243</v>
      </c>
      <c r="H7" s="85" t="s">
        <v>440</v>
      </c>
      <c r="I7" s="84">
        <v>2500</v>
      </c>
      <c r="J7" s="84">
        <f t="shared" si="0"/>
        <v>0</v>
      </c>
      <c r="K7" s="86" t="s">
        <v>430</v>
      </c>
      <c r="L7" s="87">
        <f t="shared" si="10"/>
        <v>2500</v>
      </c>
      <c r="M7" s="84">
        <f t="shared" si="1"/>
        <v>0</v>
      </c>
      <c r="N7" s="86" t="s">
        <v>430</v>
      </c>
      <c r="O7" s="87">
        <f t="shared" si="11"/>
        <v>2500</v>
      </c>
      <c r="P7" s="84">
        <f t="shared" si="2"/>
        <v>0</v>
      </c>
      <c r="Q7" s="88" t="s">
        <v>431</v>
      </c>
      <c r="R7" s="86">
        <f t="shared" si="3"/>
        <v>0</v>
      </c>
      <c r="S7" s="86" t="s">
        <v>432</v>
      </c>
      <c r="T7" s="84">
        <f t="shared" si="12"/>
        <v>2500</v>
      </c>
      <c r="U7" s="84" t="s">
        <v>433</v>
      </c>
      <c r="V7" s="84">
        <f t="shared" si="4"/>
        <v>0</v>
      </c>
      <c r="W7" s="88" t="s">
        <v>431</v>
      </c>
      <c r="X7" s="86">
        <f t="shared" si="5"/>
        <v>0</v>
      </c>
      <c r="Y7" s="88" t="s">
        <v>432</v>
      </c>
      <c r="Z7" s="84">
        <f t="shared" si="13"/>
        <v>2500</v>
      </c>
      <c r="AA7" s="84" t="s">
        <v>433</v>
      </c>
      <c r="AB7" s="84">
        <f t="shared" si="6"/>
        <v>0</v>
      </c>
      <c r="AC7" s="88">
        <f t="shared" si="6"/>
        <v>0</v>
      </c>
      <c r="AD7" s="88" t="s">
        <v>430</v>
      </c>
      <c r="AE7" s="89">
        <f t="shared" si="7"/>
        <v>0</v>
      </c>
      <c r="AF7" s="90">
        <f t="shared" si="14"/>
        <v>9.7199999999999995E-2</v>
      </c>
      <c r="AG7" s="91" t="str">
        <f t="shared" si="8"/>
        <v>-</v>
      </c>
      <c r="AH7" s="90">
        <f t="shared" si="15"/>
        <v>7.4769230769230772E-3</v>
      </c>
      <c r="AI7" s="90" t="str">
        <f t="shared" si="16"/>
        <v/>
      </c>
      <c r="AJ7" s="90">
        <f>(1/I7)*'Servente com insumos'!$I$130</f>
        <v>1.9675080000000003</v>
      </c>
      <c r="AK7" s="90">
        <v>0</v>
      </c>
      <c r="AL7" s="90">
        <f>1/(13*I7)*'encarregado sem insumos'!$I$130</f>
        <v>0.10809630769230769</v>
      </c>
      <c r="AM7" s="90" t="str">
        <f t="shared" si="17"/>
        <v/>
      </c>
      <c r="AN7" s="90">
        <f t="shared" si="18"/>
        <v>2.0756043076923079</v>
      </c>
      <c r="AO7" s="92">
        <f t="shared" si="19"/>
        <v>478.10444400000006</v>
      </c>
      <c r="AP7" s="91">
        <f t="shared" si="24"/>
        <v>0</v>
      </c>
      <c r="AQ7" s="92">
        <f t="shared" si="20"/>
        <v>26.267402769230767</v>
      </c>
      <c r="AR7" s="90" t="str">
        <f t="shared" si="21"/>
        <v/>
      </c>
      <c r="AS7" s="93">
        <f t="shared" si="22"/>
        <v>504.37184676923084</v>
      </c>
    </row>
    <row r="8" spans="1:45" ht="25.5">
      <c r="A8" s="310"/>
      <c r="B8" s="290"/>
      <c r="C8" s="82" t="s">
        <v>8</v>
      </c>
      <c r="D8" s="290" t="s">
        <v>441</v>
      </c>
      <c r="E8" s="290"/>
      <c r="F8" s="83" t="s">
        <v>428</v>
      </c>
      <c r="G8" s="84">
        <v>46</v>
      </c>
      <c r="H8" s="85" t="s">
        <v>442</v>
      </c>
      <c r="I8" s="84">
        <v>1800</v>
      </c>
      <c r="J8" s="84">
        <f t="shared" si="0"/>
        <v>0</v>
      </c>
      <c r="K8" s="86" t="s">
        <v>430</v>
      </c>
      <c r="L8" s="87">
        <f t="shared" si="10"/>
        <v>1800</v>
      </c>
      <c r="M8" s="84">
        <f t="shared" si="1"/>
        <v>0</v>
      </c>
      <c r="N8" s="86" t="s">
        <v>430</v>
      </c>
      <c r="O8" s="87">
        <f t="shared" si="11"/>
        <v>1800</v>
      </c>
      <c r="P8" s="84">
        <f t="shared" si="2"/>
        <v>0</v>
      </c>
      <c r="Q8" s="88" t="s">
        <v>431</v>
      </c>
      <c r="R8" s="86">
        <f t="shared" si="3"/>
        <v>0</v>
      </c>
      <c r="S8" s="86" t="s">
        <v>432</v>
      </c>
      <c r="T8" s="84">
        <f t="shared" si="12"/>
        <v>1800</v>
      </c>
      <c r="U8" s="84" t="s">
        <v>433</v>
      </c>
      <c r="V8" s="84">
        <f t="shared" si="4"/>
        <v>0</v>
      </c>
      <c r="W8" s="88" t="s">
        <v>431</v>
      </c>
      <c r="X8" s="86">
        <f t="shared" si="5"/>
        <v>0</v>
      </c>
      <c r="Y8" s="88" t="s">
        <v>432</v>
      </c>
      <c r="Z8" s="84">
        <f t="shared" si="13"/>
        <v>1800</v>
      </c>
      <c r="AA8" s="84" t="s">
        <v>433</v>
      </c>
      <c r="AB8" s="84">
        <f t="shared" si="6"/>
        <v>0</v>
      </c>
      <c r="AC8" s="88">
        <f t="shared" si="6"/>
        <v>0</v>
      </c>
      <c r="AD8" s="88" t="s">
        <v>430</v>
      </c>
      <c r="AE8" s="89">
        <f t="shared" si="7"/>
        <v>0</v>
      </c>
      <c r="AF8" s="90">
        <f t="shared" si="14"/>
        <v>2.5555555555555557E-2</v>
      </c>
      <c r="AG8" s="91" t="str">
        <f t="shared" si="8"/>
        <v>-</v>
      </c>
      <c r="AH8" s="90">
        <f t="shared" si="15"/>
        <v>1.965811965811966E-3</v>
      </c>
      <c r="AI8" s="90" t="str">
        <f t="shared" si="16"/>
        <v/>
      </c>
      <c r="AJ8" s="90">
        <f>(1/I8)*'Servente com insumos'!$I$130</f>
        <v>2.73265</v>
      </c>
      <c r="AK8" s="90">
        <v>0</v>
      </c>
      <c r="AL8" s="90">
        <f>1/(13*I8)*'encarregado sem insumos'!$I$130</f>
        <v>0.15013376068376069</v>
      </c>
      <c r="AM8" s="90" t="str">
        <f t="shared" si="17"/>
        <v/>
      </c>
      <c r="AN8" s="90">
        <f t="shared" si="18"/>
        <v>2.8827837606837607</v>
      </c>
      <c r="AO8" s="92">
        <f t="shared" si="19"/>
        <v>125.70189999999999</v>
      </c>
      <c r="AP8" s="91">
        <f t="shared" si="24"/>
        <v>0</v>
      </c>
      <c r="AQ8" s="92">
        <f t="shared" si="20"/>
        <v>6.9061529914529922</v>
      </c>
      <c r="AR8" s="90" t="str">
        <f t="shared" si="21"/>
        <v/>
      </c>
      <c r="AS8" s="93">
        <f t="shared" si="22"/>
        <v>132.60805299145298</v>
      </c>
    </row>
    <row r="9" spans="1:45" ht="25.5">
      <c r="A9" s="310"/>
      <c r="B9" s="290"/>
      <c r="C9" s="82" t="s">
        <v>8</v>
      </c>
      <c r="D9" s="290" t="s">
        <v>443</v>
      </c>
      <c r="E9" s="290"/>
      <c r="F9" s="83" t="s">
        <v>428</v>
      </c>
      <c r="G9" s="84">
        <v>1512</v>
      </c>
      <c r="H9" s="85" t="s">
        <v>444</v>
      </c>
      <c r="I9" s="84">
        <v>1500</v>
      </c>
      <c r="J9" s="84">
        <f t="shared" si="0"/>
        <v>0</v>
      </c>
      <c r="K9" s="86" t="s">
        <v>430</v>
      </c>
      <c r="L9" s="87">
        <f t="shared" si="10"/>
        <v>1500</v>
      </c>
      <c r="M9" s="84">
        <f t="shared" si="1"/>
        <v>0</v>
      </c>
      <c r="N9" s="86" t="s">
        <v>430</v>
      </c>
      <c r="O9" s="87">
        <f t="shared" si="11"/>
        <v>1500</v>
      </c>
      <c r="P9" s="84">
        <f t="shared" si="2"/>
        <v>0</v>
      </c>
      <c r="Q9" s="88" t="s">
        <v>431</v>
      </c>
      <c r="R9" s="86">
        <f t="shared" si="3"/>
        <v>0</v>
      </c>
      <c r="S9" s="86" t="s">
        <v>432</v>
      </c>
      <c r="T9" s="84">
        <f t="shared" si="12"/>
        <v>1500</v>
      </c>
      <c r="U9" s="84" t="s">
        <v>433</v>
      </c>
      <c r="V9" s="84">
        <f t="shared" si="4"/>
        <v>0</v>
      </c>
      <c r="W9" s="88" t="s">
        <v>431</v>
      </c>
      <c r="X9" s="86">
        <f t="shared" si="5"/>
        <v>0</v>
      </c>
      <c r="Y9" s="88" t="s">
        <v>432</v>
      </c>
      <c r="Z9" s="84">
        <f t="shared" si="13"/>
        <v>1500</v>
      </c>
      <c r="AA9" s="84" t="s">
        <v>433</v>
      </c>
      <c r="AB9" s="84">
        <f t="shared" si="6"/>
        <v>0</v>
      </c>
      <c r="AC9" s="88">
        <f t="shared" si="6"/>
        <v>0</v>
      </c>
      <c r="AD9" s="88" t="s">
        <v>430</v>
      </c>
      <c r="AE9" s="89">
        <f t="shared" si="7"/>
        <v>0</v>
      </c>
      <c r="AF9" s="90">
        <f t="shared" si="14"/>
        <v>1.008</v>
      </c>
      <c r="AG9" s="91" t="str">
        <f t="shared" si="8"/>
        <v>-</v>
      </c>
      <c r="AH9" s="90">
        <f t="shared" si="15"/>
        <v>7.7538461538461542E-2</v>
      </c>
      <c r="AI9" s="90" t="str">
        <f t="shared" si="16"/>
        <v/>
      </c>
      <c r="AJ9" s="90">
        <f>(1/I9)*'Servente com insumos'!$I$130</f>
        <v>3.2791800000000002</v>
      </c>
      <c r="AK9" s="90">
        <v>0</v>
      </c>
      <c r="AL9" s="90">
        <f>1/(13*I9)*'encarregado sem insumos'!$I$130</f>
        <v>0.18016051282051282</v>
      </c>
      <c r="AM9" s="90" t="str">
        <f t="shared" si="17"/>
        <v/>
      </c>
      <c r="AN9" s="90">
        <f t="shared" si="18"/>
        <v>3.4593405128205132</v>
      </c>
      <c r="AO9" s="92">
        <f t="shared" si="19"/>
        <v>4958.1201600000004</v>
      </c>
      <c r="AP9" s="91">
        <f t="shared" si="24"/>
        <v>0</v>
      </c>
      <c r="AQ9" s="92">
        <f t="shared" si="20"/>
        <v>272.40269538461536</v>
      </c>
      <c r="AR9" s="90" t="str">
        <f t="shared" si="21"/>
        <v/>
      </c>
      <c r="AS9" s="93">
        <f t="shared" si="22"/>
        <v>5230.5228553846155</v>
      </c>
    </row>
    <row r="10" spans="1:45" ht="25.5">
      <c r="A10" s="310"/>
      <c r="B10" s="290"/>
      <c r="C10" s="82" t="s">
        <v>8</v>
      </c>
      <c r="D10" s="290" t="s">
        <v>445</v>
      </c>
      <c r="E10" s="290"/>
      <c r="F10" s="83" t="s">
        <v>436</v>
      </c>
      <c r="G10" s="84">
        <v>46</v>
      </c>
      <c r="H10" s="85" t="s">
        <v>446</v>
      </c>
      <c r="I10" s="84">
        <v>200</v>
      </c>
      <c r="J10" s="84">
        <f t="shared" si="0"/>
        <v>0</v>
      </c>
      <c r="K10" s="86" t="s">
        <v>430</v>
      </c>
      <c r="L10" s="87">
        <f t="shared" si="10"/>
        <v>200</v>
      </c>
      <c r="M10" s="84">
        <f t="shared" si="1"/>
        <v>0</v>
      </c>
      <c r="N10" s="86" t="s">
        <v>430</v>
      </c>
      <c r="O10" s="87">
        <f t="shared" si="11"/>
        <v>200</v>
      </c>
      <c r="P10" s="84">
        <f t="shared" si="2"/>
        <v>0</v>
      </c>
      <c r="Q10" s="88" t="s">
        <v>431</v>
      </c>
      <c r="R10" s="86">
        <f t="shared" si="3"/>
        <v>0</v>
      </c>
      <c r="S10" s="86" t="s">
        <v>432</v>
      </c>
      <c r="T10" s="84">
        <f t="shared" si="12"/>
        <v>200</v>
      </c>
      <c r="U10" s="84" t="s">
        <v>433</v>
      </c>
      <c r="V10" s="84">
        <f t="shared" si="4"/>
        <v>0</v>
      </c>
      <c r="W10" s="88" t="s">
        <v>431</v>
      </c>
      <c r="X10" s="86">
        <f t="shared" si="5"/>
        <v>0</v>
      </c>
      <c r="Y10" s="88" t="s">
        <v>432</v>
      </c>
      <c r="Z10" s="84">
        <f t="shared" si="13"/>
        <v>200</v>
      </c>
      <c r="AA10" s="84" t="s">
        <v>433</v>
      </c>
      <c r="AB10" s="84">
        <f t="shared" si="6"/>
        <v>0</v>
      </c>
      <c r="AC10" s="88">
        <f t="shared" si="6"/>
        <v>0</v>
      </c>
      <c r="AD10" s="88" t="s">
        <v>430</v>
      </c>
      <c r="AE10" s="89">
        <f t="shared" si="7"/>
        <v>0</v>
      </c>
      <c r="AF10" s="90">
        <v>0</v>
      </c>
      <c r="AG10" s="91">
        <f>G10/I10</f>
        <v>0.23</v>
      </c>
      <c r="AH10" s="90">
        <f t="shared" si="15"/>
        <v>1.7692307692307695E-2</v>
      </c>
      <c r="AI10" s="90" t="str">
        <f t="shared" si="16"/>
        <v/>
      </c>
      <c r="AJ10" s="90">
        <v>0</v>
      </c>
      <c r="AK10" s="90">
        <f>(1/I10)*'Servente com insalubridade'!$I$130</f>
        <v>22.728350000000002</v>
      </c>
      <c r="AL10" s="90">
        <f>1/(13*I10)*'encarregado sem insumos'!$I$130</f>
        <v>1.3512038461538463</v>
      </c>
      <c r="AM10" s="90" t="str">
        <f t="shared" si="17"/>
        <v/>
      </c>
      <c r="AN10" s="90">
        <f t="shared" si="18"/>
        <v>24.07955384615385</v>
      </c>
      <c r="AO10" s="92">
        <f t="shared" si="19"/>
        <v>0</v>
      </c>
      <c r="AP10" s="91">
        <f t="shared" si="24"/>
        <v>1045.5041000000001</v>
      </c>
      <c r="AQ10" s="92">
        <f t="shared" si="20"/>
        <v>62.155376923076929</v>
      </c>
      <c r="AR10" s="90" t="str">
        <f t="shared" si="21"/>
        <v/>
      </c>
      <c r="AS10" s="93">
        <f t="shared" si="22"/>
        <v>1107.6594769230771</v>
      </c>
    </row>
    <row r="11" spans="1:45" ht="25.5">
      <c r="A11" s="310"/>
      <c r="B11" s="290"/>
      <c r="C11" s="82" t="s">
        <v>8</v>
      </c>
      <c r="D11" s="290" t="s">
        <v>447</v>
      </c>
      <c r="E11" s="290"/>
      <c r="F11" s="83" t="s">
        <v>428</v>
      </c>
      <c r="G11" s="84">
        <v>18.5</v>
      </c>
      <c r="H11" s="85" t="s">
        <v>446</v>
      </c>
      <c r="I11" s="84">
        <v>250</v>
      </c>
      <c r="J11" s="84">
        <f t="shared" si="0"/>
        <v>0</v>
      </c>
      <c r="K11" s="86" t="s">
        <v>430</v>
      </c>
      <c r="L11" s="87">
        <f t="shared" si="10"/>
        <v>250</v>
      </c>
      <c r="M11" s="84">
        <f t="shared" si="1"/>
        <v>0</v>
      </c>
      <c r="N11" s="86" t="s">
        <v>430</v>
      </c>
      <c r="O11" s="87">
        <f t="shared" si="11"/>
        <v>250</v>
      </c>
      <c r="P11" s="84">
        <f t="shared" si="2"/>
        <v>0</v>
      </c>
      <c r="Q11" s="88" t="s">
        <v>431</v>
      </c>
      <c r="R11" s="86">
        <f t="shared" si="3"/>
        <v>0</v>
      </c>
      <c r="S11" s="86" t="s">
        <v>432</v>
      </c>
      <c r="T11" s="84">
        <f t="shared" si="12"/>
        <v>250</v>
      </c>
      <c r="U11" s="84" t="s">
        <v>433</v>
      </c>
      <c r="V11" s="84">
        <f t="shared" si="4"/>
        <v>0</v>
      </c>
      <c r="W11" s="88" t="s">
        <v>431</v>
      </c>
      <c r="X11" s="86">
        <f t="shared" si="5"/>
        <v>0</v>
      </c>
      <c r="Y11" s="88" t="s">
        <v>432</v>
      </c>
      <c r="Z11" s="84">
        <f t="shared" si="13"/>
        <v>250</v>
      </c>
      <c r="AA11" s="84" t="s">
        <v>433</v>
      </c>
      <c r="AB11" s="84">
        <f t="shared" si="6"/>
        <v>0</v>
      </c>
      <c r="AC11" s="88">
        <f t="shared" si="6"/>
        <v>0</v>
      </c>
      <c r="AD11" s="88" t="s">
        <v>430</v>
      </c>
      <c r="AE11" s="89">
        <f t="shared" si="7"/>
        <v>0</v>
      </c>
      <c r="AF11" s="90">
        <f t="shared" si="14"/>
        <v>7.3999999999999996E-2</v>
      </c>
      <c r="AG11" s="91" t="str">
        <f t="shared" si="8"/>
        <v>-</v>
      </c>
      <c r="AH11" s="90">
        <f t="shared" si="15"/>
        <v>5.6923076923076927E-3</v>
      </c>
      <c r="AI11" s="90" t="str">
        <f t="shared" si="16"/>
        <v/>
      </c>
      <c r="AJ11" s="90">
        <f>(1/I11)*'Servente com insumos'!$I$130</f>
        <v>19.675080000000001</v>
      </c>
      <c r="AK11" s="90">
        <v>0</v>
      </c>
      <c r="AL11" s="90">
        <f>1/(13*I11)*'encarregado sem insumos'!$I$130</f>
        <v>1.0809630769230769</v>
      </c>
      <c r="AM11" s="90" t="str">
        <f t="shared" si="17"/>
        <v/>
      </c>
      <c r="AN11" s="90">
        <f t="shared" si="18"/>
        <v>20.756043076923078</v>
      </c>
      <c r="AO11" s="92">
        <f t="shared" si="19"/>
        <v>363.98898000000003</v>
      </c>
      <c r="AP11" s="91">
        <f t="shared" si="24"/>
        <v>0</v>
      </c>
      <c r="AQ11" s="92">
        <f t="shared" si="20"/>
        <v>19.997816923076922</v>
      </c>
      <c r="AR11" s="90" t="str">
        <f t="shared" si="21"/>
        <v/>
      </c>
      <c r="AS11" s="93">
        <f t="shared" si="22"/>
        <v>383.98679692307695</v>
      </c>
    </row>
    <row r="12" spans="1:45" ht="25.5">
      <c r="A12" s="311"/>
      <c r="B12" s="290"/>
      <c r="C12" s="82" t="s">
        <v>8</v>
      </c>
      <c r="D12" s="290" t="s">
        <v>448</v>
      </c>
      <c r="E12" s="290"/>
      <c r="F12" s="83" t="s">
        <v>436</v>
      </c>
      <c r="G12" s="84">
        <v>442.5</v>
      </c>
      <c r="H12" s="85" t="s">
        <v>446</v>
      </c>
      <c r="I12" s="84">
        <v>250</v>
      </c>
      <c r="J12" s="84">
        <f t="shared" si="0"/>
        <v>0</v>
      </c>
      <c r="K12" s="86" t="s">
        <v>430</v>
      </c>
      <c r="L12" s="87">
        <f t="shared" si="10"/>
        <v>250</v>
      </c>
      <c r="M12" s="84">
        <f t="shared" si="1"/>
        <v>0</v>
      </c>
      <c r="N12" s="86" t="s">
        <v>430</v>
      </c>
      <c r="O12" s="87">
        <f t="shared" si="11"/>
        <v>250</v>
      </c>
      <c r="P12" s="84">
        <f t="shared" si="2"/>
        <v>0</v>
      </c>
      <c r="Q12" s="88" t="s">
        <v>431</v>
      </c>
      <c r="R12" s="86">
        <f t="shared" si="3"/>
        <v>0</v>
      </c>
      <c r="S12" s="86" t="s">
        <v>432</v>
      </c>
      <c r="T12" s="84">
        <f t="shared" si="12"/>
        <v>250</v>
      </c>
      <c r="U12" s="84" t="s">
        <v>433</v>
      </c>
      <c r="V12" s="84">
        <f t="shared" si="4"/>
        <v>0</v>
      </c>
      <c r="W12" s="88" t="s">
        <v>431</v>
      </c>
      <c r="X12" s="86">
        <f t="shared" si="5"/>
        <v>0</v>
      </c>
      <c r="Y12" s="88" t="s">
        <v>432</v>
      </c>
      <c r="Z12" s="84">
        <f t="shared" si="13"/>
        <v>250</v>
      </c>
      <c r="AA12" s="84" t="s">
        <v>433</v>
      </c>
      <c r="AB12" s="84">
        <f t="shared" si="6"/>
        <v>0</v>
      </c>
      <c r="AC12" s="88">
        <f t="shared" si="6"/>
        <v>0</v>
      </c>
      <c r="AD12" s="88" t="s">
        <v>430</v>
      </c>
      <c r="AE12" s="89">
        <f t="shared" si="7"/>
        <v>0</v>
      </c>
      <c r="AF12" s="90">
        <v>0</v>
      </c>
      <c r="AG12" s="91">
        <f>G12/I12</f>
        <v>1.77</v>
      </c>
      <c r="AH12" s="90">
        <f t="shared" si="15"/>
        <v>0.13615384615384615</v>
      </c>
      <c r="AI12" s="90" t="str">
        <f t="shared" si="16"/>
        <v/>
      </c>
      <c r="AJ12" s="90">
        <v>0</v>
      </c>
      <c r="AK12" s="90">
        <f>(1/I12)*'Servente com insalubridade'!$I$130</f>
        <v>18.182680000000001</v>
      </c>
      <c r="AL12" s="90">
        <f>1/(13*I12)*'encarregado sem insumos'!$I$130</f>
        <v>1.0809630769230769</v>
      </c>
      <c r="AM12" s="90" t="str">
        <f t="shared" si="17"/>
        <v/>
      </c>
      <c r="AN12" s="90">
        <f t="shared" ref="AN12" si="26">SUM(AJ12:AM12)</f>
        <v>19.263643076923078</v>
      </c>
      <c r="AO12" s="92">
        <f t="shared" si="19"/>
        <v>0</v>
      </c>
      <c r="AP12" s="91">
        <f t="shared" si="24"/>
        <v>8045.8359000000009</v>
      </c>
      <c r="AQ12" s="92">
        <f t="shared" si="20"/>
        <v>478.32616153846152</v>
      </c>
      <c r="AR12" s="90" t="str">
        <f t="shared" si="21"/>
        <v/>
      </c>
      <c r="AS12" s="93">
        <f t="shared" ref="AS12" si="27">SUM(AO12:AR12)</f>
        <v>8524.1620615384618</v>
      </c>
    </row>
    <row r="13" spans="1:45" ht="25.5">
      <c r="A13" s="306">
        <v>2</v>
      </c>
      <c r="B13" s="290" t="s">
        <v>10</v>
      </c>
      <c r="C13" s="82" t="s">
        <v>10</v>
      </c>
      <c r="D13" s="290" t="s">
        <v>449</v>
      </c>
      <c r="E13" s="290"/>
      <c r="F13" s="83" t="s">
        <v>428</v>
      </c>
      <c r="G13" s="84">
        <v>1620</v>
      </c>
      <c r="H13" s="85" t="s">
        <v>450</v>
      </c>
      <c r="I13" s="84">
        <v>2700</v>
      </c>
      <c r="J13" s="84">
        <f>J$100</f>
        <v>0</v>
      </c>
      <c r="K13" s="86" t="s">
        <v>430</v>
      </c>
      <c r="L13" s="87">
        <f t="shared" si="10"/>
        <v>2700</v>
      </c>
      <c r="M13" s="84">
        <f>M$100</f>
        <v>0</v>
      </c>
      <c r="N13" s="86" t="s">
        <v>430</v>
      </c>
      <c r="O13" s="87">
        <f t="shared" si="11"/>
        <v>2700</v>
      </c>
      <c r="P13" s="84">
        <f>P$100</f>
        <v>0</v>
      </c>
      <c r="Q13" s="88" t="s">
        <v>431</v>
      </c>
      <c r="R13" s="86">
        <f>R$101</f>
        <v>0</v>
      </c>
      <c r="S13" s="86" t="s">
        <v>432</v>
      </c>
      <c r="T13" s="84">
        <f t="shared" si="12"/>
        <v>2700</v>
      </c>
      <c r="U13" s="84" t="s">
        <v>433</v>
      </c>
      <c r="V13" s="84">
        <f>V$100</f>
        <v>0</v>
      </c>
      <c r="W13" s="88" t="s">
        <v>431</v>
      </c>
      <c r="X13" s="86">
        <f>X$101</f>
        <v>0</v>
      </c>
      <c r="Y13" s="88" t="s">
        <v>432</v>
      </c>
      <c r="Z13" s="84">
        <f t="shared" si="13"/>
        <v>2700</v>
      </c>
      <c r="AA13" s="84" t="s">
        <v>433</v>
      </c>
      <c r="AB13" s="84">
        <f t="shared" si="6"/>
        <v>0</v>
      </c>
      <c r="AC13" s="88">
        <f t="shared" si="6"/>
        <v>0</v>
      </c>
      <c r="AD13" s="88" t="s">
        <v>430</v>
      </c>
      <c r="AE13" s="89">
        <f>AC$101</f>
        <v>0</v>
      </c>
      <c r="AF13" s="90">
        <f t="shared" si="14"/>
        <v>0.6</v>
      </c>
      <c r="AG13" s="91" t="str">
        <f t="shared" si="8"/>
        <v>-</v>
      </c>
      <c r="AH13" s="90">
        <f t="shared" si="15"/>
        <v>4.6153846153846156E-2</v>
      </c>
      <c r="AI13" s="90" t="str">
        <f t="shared" si="16"/>
        <v/>
      </c>
      <c r="AJ13" s="90">
        <f>(1/I13)*'Servente com insumos'!$I$130</f>
        <v>1.8217666666666668</v>
      </c>
      <c r="AK13" s="91" t="str">
        <f t="shared" si="9"/>
        <v>-</v>
      </c>
      <c r="AL13" s="90">
        <f>1/(13*I13)*'encarregado sem insumos'!$I$130</f>
        <v>0.10008917378917379</v>
      </c>
      <c r="AM13" s="90" t="str">
        <f t="shared" si="17"/>
        <v/>
      </c>
      <c r="AN13" s="90">
        <f t="shared" si="18"/>
        <v>1.9218558404558406</v>
      </c>
      <c r="AO13" s="92">
        <f t="shared" si="19"/>
        <v>2951.2620000000002</v>
      </c>
      <c r="AP13" s="91"/>
      <c r="AQ13" s="92">
        <f t="shared" si="20"/>
        <v>162.14446153846154</v>
      </c>
      <c r="AR13" s="90" t="str">
        <f t="shared" si="21"/>
        <v/>
      </c>
      <c r="AS13" s="93">
        <f t="shared" si="22"/>
        <v>3113.4064615384618</v>
      </c>
    </row>
    <row r="14" spans="1:45" ht="25.5">
      <c r="A14" s="307"/>
      <c r="B14" s="290"/>
      <c r="C14" s="82" t="s">
        <v>10</v>
      </c>
      <c r="D14" s="290" t="s">
        <v>451</v>
      </c>
      <c r="E14" s="290"/>
      <c r="F14" s="83" t="s">
        <v>428</v>
      </c>
      <c r="G14" s="84">
        <v>6632</v>
      </c>
      <c r="H14" s="85" t="s">
        <v>452</v>
      </c>
      <c r="I14" s="84">
        <v>9000</v>
      </c>
      <c r="J14" s="84">
        <f>J$100</f>
        <v>0</v>
      </c>
      <c r="K14" s="86" t="s">
        <v>430</v>
      </c>
      <c r="L14" s="87">
        <f t="shared" si="10"/>
        <v>9000</v>
      </c>
      <c r="M14" s="84">
        <f>M$100</f>
        <v>0</v>
      </c>
      <c r="N14" s="86" t="s">
        <v>430</v>
      </c>
      <c r="O14" s="87">
        <f t="shared" si="11"/>
        <v>9000</v>
      </c>
      <c r="P14" s="84">
        <f>P$100</f>
        <v>0</v>
      </c>
      <c r="Q14" s="88" t="s">
        <v>431</v>
      </c>
      <c r="R14" s="86">
        <f>R$101</f>
        <v>0</v>
      </c>
      <c r="S14" s="86" t="s">
        <v>432</v>
      </c>
      <c r="T14" s="84">
        <f t="shared" si="12"/>
        <v>9000</v>
      </c>
      <c r="U14" s="84" t="s">
        <v>433</v>
      </c>
      <c r="V14" s="84">
        <f>V$100</f>
        <v>0</v>
      </c>
      <c r="W14" s="88" t="s">
        <v>431</v>
      </c>
      <c r="X14" s="86">
        <f>X$101</f>
        <v>0</v>
      </c>
      <c r="Y14" s="88" t="s">
        <v>432</v>
      </c>
      <c r="Z14" s="84">
        <f t="shared" si="13"/>
        <v>9000</v>
      </c>
      <c r="AA14" s="84" t="s">
        <v>433</v>
      </c>
      <c r="AB14" s="84">
        <f t="shared" si="6"/>
        <v>0</v>
      </c>
      <c r="AC14" s="88">
        <f t="shared" si="6"/>
        <v>0</v>
      </c>
      <c r="AD14" s="88" t="s">
        <v>430</v>
      </c>
      <c r="AE14" s="89">
        <f>AC$101</f>
        <v>0</v>
      </c>
      <c r="AF14" s="90">
        <f t="shared" si="14"/>
        <v>0.73688888888888893</v>
      </c>
      <c r="AG14" s="91" t="str">
        <f t="shared" si="8"/>
        <v>-</v>
      </c>
      <c r="AH14" s="90">
        <f t="shared" si="15"/>
        <v>5.6683760683760687E-2</v>
      </c>
      <c r="AI14" s="90" t="str">
        <f t="shared" si="16"/>
        <v/>
      </c>
      <c r="AJ14" s="90">
        <f>(1/I14)*'Servente com insumos'!$I$130</f>
        <v>0.54653000000000007</v>
      </c>
      <c r="AK14" s="91" t="str">
        <f t="shared" si="9"/>
        <v>-</v>
      </c>
      <c r="AL14" s="90">
        <f>1/(13*I14)*'encarregado sem insumos'!$I$130</f>
        <v>3.0026752136752141E-2</v>
      </c>
      <c r="AM14" s="90" t="str">
        <f t="shared" si="17"/>
        <v/>
      </c>
      <c r="AN14" s="90">
        <f t="shared" si="18"/>
        <v>0.57655675213675217</v>
      </c>
      <c r="AO14" s="92">
        <f t="shared" si="19"/>
        <v>3624.5869600000005</v>
      </c>
      <c r="AP14" s="91"/>
      <c r="AQ14" s="92">
        <f t="shared" si="20"/>
        <v>199.1374201709402</v>
      </c>
      <c r="AR14" s="90" t="str">
        <f t="shared" si="21"/>
        <v/>
      </c>
      <c r="AS14" s="93">
        <f t="shared" si="22"/>
        <v>3823.7243801709405</v>
      </c>
    </row>
    <row r="15" spans="1:45" ht="25.5">
      <c r="A15" s="308"/>
      <c r="B15" s="290"/>
      <c r="C15" s="82" t="s">
        <v>10</v>
      </c>
      <c r="D15" s="290" t="s">
        <v>453</v>
      </c>
      <c r="E15" s="290"/>
      <c r="F15" s="83" t="s">
        <v>428</v>
      </c>
      <c r="G15" s="84">
        <v>2957</v>
      </c>
      <c r="H15" s="85" t="s">
        <v>450</v>
      </c>
      <c r="I15" s="84">
        <v>2700</v>
      </c>
      <c r="J15" s="84">
        <f>J$100</f>
        <v>0</v>
      </c>
      <c r="K15" s="86" t="s">
        <v>430</v>
      </c>
      <c r="L15" s="87">
        <f t="shared" si="10"/>
        <v>2700</v>
      </c>
      <c r="M15" s="84">
        <f>M$100</f>
        <v>0</v>
      </c>
      <c r="N15" s="86" t="s">
        <v>430</v>
      </c>
      <c r="O15" s="87">
        <f t="shared" si="11"/>
        <v>2700</v>
      </c>
      <c r="P15" s="84">
        <f>P$100</f>
        <v>0</v>
      </c>
      <c r="Q15" s="88" t="s">
        <v>431</v>
      </c>
      <c r="R15" s="86">
        <f>R$101</f>
        <v>0</v>
      </c>
      <c r="S15" s="86" t="s">
        <v>432</v>
      </c>
      <c r="T15" s="84">
        <f t="shared" si="12"/>
        <v>2700</v>
      </c>
      <c r="U15" s="84" t="s">
        <v>433</v>
      </c>
      <c r="V15" s="84">
        <f>V$100</f>
        <v>0</v>
      </c>
      <c r="W15" s="88" t="s">
        <v>431</v>
      </c>
      <c r="X15" s="86">
        <f>X$101</f>
        <v>0</v>
      </c>
      <c r="Y15" s="88" t="s">
        <v>432</v>
      </c>
      <c r="Z15" s="84">
        <f t="shared" si="13"/>
        <v>2700</v>
      </c>
      <c r="AA15" s="84" t="s">
        <v>433</v>
      </c>
      <c r="AB15" s="84">
        <f t="shared" si="6"/>
        <v>0</v>
      </c>
      <c r="AC15" s="88">
        <f t="shared" si="6"/>
        <v>0</v>
      </c>
      <c r="AD15" s="88" t="s">
        <v>430</v>
      </c>
      <c r="AE15" s="89">
        <f>AC$101</f>
        <v>0</v>
      </c>
      <c r="AF15" s="90">
        <f t="shared" si="14"/>
        <v>1.0951851851851853</v>
      </c>
      <c r="AG15" s="91" t="str">
        <f t="shared" si="8"/>
        <v>-</v>
      </c>
      <c r="AH15" s="90">
        <f t="shared" si="15"/>
        <v>8.4245014245014252E-2</v>
      </c>
      <c r="AI15" s="90" t="str">
        <f t="shared" si="16"/>
        <v/>
      </c>
      <c r="AJ15" s="90">
        <f>(1/I15)*'Servente com insumos'!$I$130</f>
        <v>1.8217666666666668</v>
      </c>
      <c r="AK15" s="91" t="str">
        <f t="shared" si="9"/>
        <v>-</v>
      </c>
      <c r="AL15" s="90">
        <f>1/(13*I15)*'encarregado sem insumos'!$I$130</f>
        <v>0.10008917378917379</v>
      </c>
      <c r="AM15" s="90" t="str">
        <f t="shared" si="17"/>
        <v/>
      </c>
      <c r="AN15" s="90">
        <f t="shared" si="18"/>
        <v>1.9218558404558406</v>
      </c>
      <c r="AO15" s="92">
        <f t="shared" si="19"/>
        <v>5386.9640333333336</v>
      </c>
      <c r="AP15" s="91"/>
      <c r="AQ15" s="92">
        <f t="shared" si="20"/>
        <v>295.96368689458689</v>
      </c>
      <c r="AR15" s="90" t="str">
        <f t="shared" si="21"/>
        <v/>
      </c>
      <c r="AS15" s="93">
        <f t="shared" si="22"/>
        <v>5682.9277202279209</v>
      </c>
    </row>
    <row r="16" spans="1:45" ht="25.5">
      <c r="A16" s="306">
        <v>3</v>
      </c>
      <c r="B16" s="290" t="s">
        <v>12</v>
      </c>
      <c r="C16" s="82" t="s">
        <v>12</v>
      </c>
      <c r="D16" s="290" t="s">
        <v>454</v>
      </c>
      <c r="E16" s="290"/>
      <c r="F16" s="83" t="s">
        <v>428</v>
      </c>
      <c r="G16" s="84">
        <v>0</v>
      </c>
      <c r="H16" s="85" t="s">
        <v>455</v>
      </c>
      <c r="I16" s="84">
        <v>160</v>
      </c>
      <c r="J16" s="84">
        <f>J$102</f>
        <v>0</v>
      </c>
      <c r="K16" s="86" t="s">
        <v>430</v>
      </c>
      <c r="L16" s="87">
        <f t="shared" si="10"/>
        <v>160</v>
      </c>
      <c r="M16" s="84">
        <f>M$102</f>
        <v>0</v>
      </c>
      <c r="N16" s="86" t="s">
        <v>430</v>
      </c>
      <c r="O16" s="87">
        <f t="shared" si="11"/>
        <v>160</v>
      </c>
      <c r="P16" s="84">
        <f>P$102</f>
        <v>0</v>
      </c>
      <c r="Q16" s="88" t="s">
        <v>431</v>
      </c>
      <c r="R16" s="86">
        <f>R$103</f>
        <v>0</v>
      </c>
      <c r="S16" s="86" t="s">
        <v>432</v>
      </c>
      <c r="T16" s="84">
        <f>I16</f>
        <v>160</v>
      </c>
      <c r="U16" s="84" t="s">
        <v>433</v>
      </c>
      <c r="V16" s="84">
        <f>V$102</f>
        <v>0</v>
      </c>
      <c r="W16" s="88" t="s">
        <v>431</v>
      </c>
      <c r="X16" s="86">
        <f>X$103</f>
        <v>0</v>
      </c>
      <c r="Y16" s="88" t="s">
        <v>432</v>
      </c>
      <c r="Z16" s="84">
        <f>I16</f>
        <v>160</v>
      </c>
      <c r="AA16" s="84" t="s">
        <v>433</v>
      </c>
      <c r="AB16" s="84">
        <f>AB$102</f>
        <v>0</v>
      </c>
      <c r="AC16" s="88">
        <f>AC$102</f>
        <v>0</v>
      </c>
      <c r="AD16" s="88" t="s">
        <v>430</v>
      </c>
      <c r="AE16" s="89">
        <f>AC$103</f>
        <v>0</v>
      </c>
      <c r="AF16" s="90">
        <f t="shared" si="14"/>
        <v>0</v>
      </c>
      <c r="AG16" s="91" t="str">
        <f>IF(F16="Sim",IF(AL$1="Ok",($G16/$I16)*$AB16*($AC16/$AE16),""),"-")</f>
        <v>-</v>
      </c>
      <c r="AH16" s="90">
        <f t="shared" si="15"/>
        <v>0</v>
      </c>
      <c r="AI16" s="90" t="str">
        <f>IF(AL$1="Ok",IF(F$15="Sim",($G16/$I16)*$AB16*($AC16/$AE16)*(1/SUM($AR$12,$AR$13,$AR$14)),"-"),"")</f>
        <v/>
      </c>
      <c r="AJ16" s="90">
        <f>(1/I16)*(16)*(1/188.76)*'Servente com insumos'!$I$130</f>
        <v>2.6058328035600771</v>
      </c>
      <c r="AK16" s="91" t="str">
        <f>IF(F16="Sim",IF(AL$1="Ok",((1/$I16)*AB16*(AC16/AE16))*$AS$13,""),"-")</f>
        <v>-</v>
      </c>
      <c r="AL16" s="90">
        <f>1/(13*I16)*(16)*(1/188.76)*'encarregado sem insumos'!$I$130</f>
        <v>0.14316633250199684</v>
      </c>
      <c r="AM16" s="90" t="str">
        <f>IF(AL$1="Ok",IF(F$15="Sim",$AR$15/(SUM($AR$12,$AR$13,$AR$14)*$I16)*AB16*(AC16/AE16)*$AS$15,"-"),"")</f>
        <v/>
      </c>
      <c r="AN16" s="90">
        <f t="shared" si="18"/>
        <v>2.748999136062074</v>
      </c>
      <c r="AO16" s="92">
        <f t="shared" si="19"/>
        <v>0</v>
      </c>
      <c r="AP16" s="91"/>
      <c r="AQ16" s="92">
        <f t="shared" si="20"/>
        <v>0</v>
      </c>
      <c r="AR16" s="90" t="str">
        <f t="shared" si="21"/>
        <v/>
      </c>
      <c r="AS16" s="93">
        <f t="shared" si="22"/>
        <v>0</v>
      </c>
    </row>
    <row r="17" spans="1:45" ht="25.5">
      <c r="A17" s="307"/>
      <c r="B17" s="290"/>
      <c r="C17" s="82" t="s">
        <v>12</v>
      </c>
      <c r="D17" s="290" t="s">
        <v>456</v>
      </c>
      <c r="E17" s="290"/>
      <c r="F17" s="83" t="s">
        <v>428</v>
      </c>
      <c r="G17" s="84">
        <v>495</v>
      </c>
      <c r="H17" s="85" t="s">
        <v>457</v>
      </c>
      <c r="I17" s="84">
        <v>380</v>
      </c>
      <c r="J17" s="84">
        <f>J$102</f>
        <v>0</v>
      </c>
      <c r="K17" s="86" t="s">
        <v>430</v>
      </c>
      <c r="L17" s="87">
        <f t="shared" si="10"/>
        <v>380</v>
      </c>
      <c r="M17" s="84">
        <f>M$102</f>
        <v>0</v>
      </c>
      <c r="N17" s="86" t="s">
        <v>430</v>
      </c>
      <c r="O17" s="87">
        <f t="shared" si="11"/>
        <v>380</v>
      </c>
      <c r="P17" s="84">
        <f>P$102</f>
        <v>0</v>
      </c>
      <c r="Q17" s="88" t="s">
        <v>431</v>
      </c>
      <c r="R17" s="86">
        <f>R$103</f>
        <v>0</v>
      </c>
      <c r="S17" s="86" t="s">
        <v>432</v>
      </c>
      <c r="T17" s="84">
        <f t="shared" ref="T17:T20" si="28">I17</f>
        <v>380</v>
      </c>
      <c r="U17" s="84" t="s">
        <v>433</v>
      </c>
      <c r="V17" s="84">
        <f>V$102</f>
        <v>0</v>
      </c>
      <c r="W17" s="88" t="s">
        <v>431</v>
      </c>
      <c r="X17" s="86">
        <f>X$103</f>
        <v>0</v>
      </c>
      <c r="Y17" s="88" t="s">
        <v>432</v>
      </c>
      <c r="Z17" s="84">
        <f t="shared" ref="Z17:Z20" si="29">I17</f>
        <v>380</v>
      </c>
      <c r="AA17" s="84" t="s">
        <v>433</v>
      </c>
      <c r="AB17" s="84">
        <f t="shared" ref="AB17:AC18" si="30">AB$102</f>
        <v>0</v>
      </c>
      <c r="AC17" s="88">
        <f t="shared" si="30"/>
        <v>0</v>
      </c>
      <c r="AD17" s="88" t="s">
        <v>430</v>
      </c>
      <c r="AE17" s="89">
        <f t="shared" ref="AE17:AE18" si="31">AC$103</f>
        <v>0</v>
      </c>
      <c r="AF17" s="90">
        <f>(G17/I17)*16*(1/188.76)</f>
        <v>0.11041589988958411</v>
      </c>
      <c r="AG17" s="91" t="str">
        <f>IF(F17="Sim",IF(AL$1="Ok",($G17/$I17)*$AB17*($AC17/$AE17),""),"-")</f>
        <v>-</v>
      </c>
      <c r="AH17" s="90">
        <f>(G17/I17)*16*(1/188.76)*(1/13)</f>
        <v>8.4935307607372397E-3</v>
      </c>
      <c r="AI17" s="90" t="str">
        <f>IF(AL$1="Ok",IF(F$15="Sim",($G17/$I17)*$AB17*($AC17/$AE17)*(1/SUM($AR$12,$AR$13,$AR$14)),"-"),"")</f>
        <v/>
      </c>
      <c r="AJ17" s="90">
        <f>(1/I17)*(16)*(1/188.76)*'Servente com insumos'!$I$130</f>
        <v>1.0971927593937165</v>
      </c>
      <c r="AK17" s="91" t="str">
        <f>IF(F17="Sim",IF(AL$1="Ok",((1/$I17)*AB17*(AC17/AE17))*$AS$13,""),"-")</f>
        <v>-</v>
      </c>
      <c r="AL17" s="90">
        <f>1/(13*I17)*(16)*(1/188.76)*'encarregado sem insumos'!$I$130</f>
        <v>6.0280561053472362E-2</v>
      </c>
      <c r="AM17" s="90" t="str">
        <f t="shared" ref="AM17:AM18" si="32">IF(AL$1="Ok",IF(F$15="Sim",$AR$15/(SUM($AR$12,$AR$13,$AR$14)*$I17)*AB17*(AC17/AE17)*$AS$15,"-"),"")</f>
        <v/>
      </c>
      <c r="AN17" s="90">
        <f t="shared" si="18"/>
        <v>1.157473320447189</v>
      </c>
      <c r="AO17" s="92">
        <f t="shared" si="19"/>
        <v>543.11041589988963</v>
      </c>
      <c r="AP17" s="91"/>
      <c r="AQ17" s="92">
        <f t="shared" si="20"/>
        <v>29.838877721468819</v>
      </c>
      <c r="AR17" s="90" t="str">
        <f t="shared" si="21"/>
        <v/>
      </c>
      <c r="AS17" s="93">
        <f t="shared" si="22"/>
        <v>572.94929362135849</v>
      </c>
    </row>
    <row r="18" spans="1:45" ht="25.5">
      <c r="A18" s="308"/>
      <c r="B18" s="290"/>
      <c r="C18" s="82" t="s">
        <v>12</v>
      </c>
      <c r="D18" s="290" t="s">
        <v>458</v>
      </c>
      <c r="E18" s="290"/>
      <c r="F18" s="83" t="s">
        <v>428</v>
      </c>
      <c r="G18" s="84">
        <v>55</v>
      </c>
      <c r="H18" s="85" t="s">
        <v>457</v>
      </c>
      <c r="I18" s="84">
        <v>380</v>
      </c>
      <c r="J18" s="84">
        <f>J$102</f>
        <v>0</v>
      </c>
      <c r="K18" s="86" t="s">
        <v>430</v>
      </c>
      <c r="L18" s="87">
        <f t="shared" si="10"/>
        <v>380</v>
      </c>
      <c r="M18" s="84">
        <f>M$102</f>
        <v>0</v>
      </c>
      <c r="N18" s="86" t="s">
        <v>430</v>
      </c>
      <c r="O18" s="87">
        <f t="shared" si="11"/>
        <v>380</v>
      </c>
      <c r="P18" s="84">
        <f>P$102</f>
        <v>0</v>
      </c>
      <c r="Q18" s="88" t="s">
        <v>431</v>
      </c>
      <c r="R18" s="86">
        <f>R$103</f>
        <v>0</v>
      </c>
      <c r="S18" s="86" t="s">
        <v>432</v>
      </c>
      <c r="T18" s="84">
        <f t="shared" si="28"/>
        <v>380</v>
      </c>
      <c r="U18" s="84" t="s">
        <v>433</v>
      </c>
      <c r="V18" s="84">
        <f>V$102</f>
        <v>0</v>
      </c>
      <c r="W18" s="88" t="s">
        <v>431</v>
      </c>
      <c r="X18" s="86">
        <f>X$103</f>
        <v>0</v>
      </c>
      <c r="Y18" s="88" t="s">
        <v>432</v>
      </c>
      <c r="Z18" s="84">
        <f t="shared" si="29"/>
        <v>380</v>
      </c>
      <c r="AA18" s="84" t="s">
        <v>433</v>
      </c>
      <c r="AB18" s="84">
        <f t="shared" si="30"/>
        <v>0</v>
      </c>
      <c r="AC18" s="88">
        <f t="shared" si="30"/>
        <v>0</v>
      </c>
      <c r="AD18" s="88" t="s">
        <v>430</v>
      </c>
      <c r="AE18" s="89">
        <f t="shared" si="31"/>
        <v>0</v>
      </c>
      <c r="AF18" s="90">
        <f>(G18/I18)*16*(1/188.76)</f>
        <v>1.2268433321064903E-2</v>
      </c>
      <c r="AG18" s="91" t="str">
        <f>IF(F18="Sim",IF(AL$1="Ok",($G18/$I18)*$AB18*($AC18/$AE18),""),"-")</f>
        <v>-</v>
      </c>
      <c r="AH18" s="90">
        <f t="shared" ref="AH18:AH19" si="33">(G18/I18)*16*(1/188.76)*(1/13)</f>
        <v>9.4372564008191561E-4</v>
      </c>
      <c r="AI18" s="90" t="str">
        <f>IF(AL$1="Ok",IF(F$15="Sim",($G18/$I18)*$AB18*($AC18/$AE18)*(1/SUM($AR$12,$AR$13,$AR$14)),"-"),"")</f>
        <v/>
      </c>
      <c r="AJ18" s="90">
        <f>(1/I18)*(16)*(1/188.76)*'Servente com insumos'!$I$130</f>
        <v>1.0971927593937165</v>
      </c>
      <c r="AK18" s="91" t="str">
        <f>IF(F18="Sim",IF(AL$1="Ok",((1/$I18)*AB18*(AC18/AE18))*$AS$13,""),"-")</f>
        <v>-</v>
      </c>
      <c r="AL18" s="90">
        <f>1/(13*I18)*(16)*(1/188.76)*'encarregado sem insumos'!$I$130</f>
        <v>6.0280561053472362E-2</v>
      </c>
      <c r="AM18" s="90" t="str">
        <f t="shared" si="32"/>
        <v/>
      </c>
      <c r="AN18" s="90">
        <f t="shared" si="18"/>
        <v>1.157473320447189</v>
      </c>
      <c r="AO18" s="92">
        <f t="shared" si="19"/>
        <v>60.345601766654411</v>
      </c>
      <c r="AP18" s="91"/>
      <c r="AQ18" s="92">
        <f t="shared" si="20"/>
        <v>3.3154308579409797</v>
      </c>
      <c r="AR18" s="90" t="str">
        <f t="shared" si="21"/>
        <v/>
      </c>
      <c r="AS18" s="93">
        <f t="shared" si="22"/>
        <v>63.661032624595393</v>
      </c>
    </row>
    <row r="19" spans="1:45">
      <c r="A19" s="94">
        <v>4</v>
      </c>
      <c r="B19" s="95" t="s">
        <v>459</v>
      </c>
      <c r="C19" s="96" t="s">
        <v>459</v>
      </c>
      <c r="D19" s="290" t="s">
        <v>460</v>
      </c>
      <c r="E19" s="290"/>
      <c r="F19" s="83" t="s">
        <v>428</v>
      </c>
      <c r="G19" s="84">
        <v>0</v>
      </c>
      <c r="H19" s="85" t="s">
        <v>455</v>
      </c>
      <c r="I19" s="84">
        <v>160</v>
      </c>
      <c r="J19" s="84">
        <f>J$102</f>
        <v>0</v>
      </c>
      <c r="K19" s="86" t="s">
        <v>430</v>
      </c>
      <c r="L19" s="87">
        <f t="shared" si="10"/>
        <v>160</v>
      </c>
      <c r="M19" s="84">
        <f>M$102</f>
        <v>0</v>
      </c>
      <c r="N19" s="86" t="s">
        <v>430</v>
      </c>
      <c r="O19" s="87">
        <f t="shared" si="11"/>
        <v>160</v>
      </c>
      <c r="P19" s="84">
        <f>P$102</f>
        <v>0</v>
      </c>
      <c r="Q19" s="88" t="s">
        <v>431</v>
      </c>
      <c r="R19" s="86">
        <f>R$103</f>
        <v>0</v>
      </c>
      <c r="S19" s="86" t="s">
        <v>432</v>
      </c>
      <c r="T19" s="84">
        <f t="shared" si="28"/>
        <v>160</v>
      </c>
      <c r="U19" s="84" t="s">
        <v>433</v>
      </c>
      <c r="V19" s="84">
        <f>V$102</f>
        <v>0</v>
      </c>
      <c r="W19" s="88" t="s">
        <v>431</v>
      </c>
      <c r="X19" s="86">
        <f>X$103</f>
        <v>0</v>
      </c>
      <c r="Y19" s="88" t="s">
        <v>432</v>
      </c>
      <c r="Z19" s="84">
        <f t="shared" si="29"/>
        <v>160</v>
      </c>
      <c r="AA19" s="84" t="s">
        <v>433</v>
      </c>
      <c r="AB19" s="84">
        <f>AB$104</f>
        <v>0</v>
      </c>
      <c r="AC19" s="88">
        <f>AC$104</f>
        <v>0</v>
      </c>
      <c r="AD19" s="88" t="s">
        <v>430</v>
      </c>
      <c r="AE19" s="89">
        <f>AC$105</f>
        <v>0</v>
      </c>
      <c r="AF19" s="90">
        <f t="shared" si="14"/>
        <v>0</v>
      </c>
      <c r="AG19" s="91" t="str">
        <f>IF(F19="Sim",IF(AL$1="Ok",($G19/$I19)*$AB19*($AC19/$AE19),""),"-")</f>
        <v>-</v>
      </c>
      <c r="AH19" s="90">
        <f t="shared" si="33"/>
        <v>0</v>
      </c>
      <c r="AI19" s="90" t="str">
        <f>IF(AL$1="Ok",IF(F$15="Sim",($G19/$I19)*$AB19*($AC19/$AE19)*(1/SUM($AR$12,$AR$13,$AR$14)),"-"),"")</f>
        <v/>
      </c>
      <c r="AJ19" s="90">
        <f>(1/I19)*(8)*(1/1132.6)*'Servente com insumos'!$I$130</f>
        <v>0.21714506445346995</v>
      </c>
      <c r="AK19" s="91" t="str">
        <f>IF(F19="Sim",IF(AL$1="Ok",((1/$I19)*AB19*(AC19/AE19))*$AS$13,""),"-")</f>
        <v>-</v>
      </c>
      <c r="AL19" s="90">
        <f>1/(13*I19)*(8)*(1/1132.6)*'encarregado sem insumos'!$I$130</f>
        <v>1.1930106358412912E-2</v>
      </c>
      <c r="AM19" s="90" t="str">
        <f>IF(AL$1="Ok",IF(F$15="Sim",$AR$15/(SUM($AR$12,$AR$13,$AR$14)*$I19)*AB19*(AC19/AE19)*$AS$15,"-"),"")</f>
        <v/>
      </c>
      <c r="AN19" s="90">
        <f t="shared" si="18"/>
        <v>0.22907517081188286</v>
      </c>
      <c r="AO19" s="92">
        <f t="shared" si="19"/>
        <v>0</v>
      </c>
      <c r="AP19" s="91"/>
      <c r="AQ19" s="92">
        <f t="shared" si="20"/>
        <v>0</v>
      </c>
      <c r="AR19" s="90" t="str">
        <f t="shared" si="21"/>
        <v/>
      </c>
      <c r="AS19" s="93">
        <f t="shared" si="22"/>
        <v>0</v>
      </c>
    </row>
    <row r="20" spans="1:45">
      <c r="A20" s="94">
        <v>5</v>
      </c>
      <c r="B20" s="95" t="s">
        <v>14</v>
      </c>
      <c r="C20" s="96" t="s">
        <v>461</v>
      </c>
      <c r="D20" s="290" t="s">
        <v>462</v>
      </c>
      <c r="E20" s="290"/>
      <c r="F20" s="83" t="s">
        <v>428</v>
      </c>
      <c r="G20" s="84">
        <v>119</v>
      </c>
      <c r="H20" s="85" t="s">
        <v>438</v>
      </c>
      <c r="I20" s="84">
        <v>450</v>
      </c>
      <c r="J20" s="84">
        <f t="shared" ref="J20" si="34">J$100</f>
        <v>0</v>
      </c>
      <c r="K20" s="86" t="s">
        <v>430</v>
      </c>
      <c r="L20" s="87">
        <f t="shared" si="10"/>
        <v>450</v>
      </c>
      <c r="M20" s="84">
        <f>M$100</f>
        <v>0</v>
      </c>
      <c r="N20" s="86" t="s">
        <v>430</v>
      </c>
      <c r="O20" s="87">
        <f t="shared" si="11"/>
        <v>450</v>
      </c>
      <c r="P20" s="84">
        <f>P$100</f>
        <v>0</v>
      </c>
      <c r="Q20" s="88" t="s">
        <v>431</v>
      </c>
      <c r="R20" s="86">
        <f>R$101</f>
        <v>0</v>
      </c>
      <c r="S20" s="86" t="s">
        <v>432</v>
      </c>
      <c r="T20" s="84">
        <f t="shared" si="28"/>
        <v>450</v>
      </c>
      <c r="U20" s="84" t="s">
        <v>433</v>
      </c>
      <c r="V20" s="84">
        <f>V$100</f>
        <v>0</v>
      </c>
      <c r="W20" s="88" t="s">
        <v>431</v>
      </c>
      <c r="X20" s="86">
        <f>X$101</f>
        <v>0</v>
      </c>
      <c r="Y20" s="88" t="s">
        <v>432</v>
      </c>
      <c r="Z20" s="84">
        <f t="shared" si="29"/>
        <v>450</v>
      </c>
      <c r="AA20" s="84" t="s">
        <v>433</v>
      </c>
      <c r="AB20" s="84">
        <f t="shared" ref="AB20:AC20" si="35">AB$100</f>
        <v>0</v>
      </c>
      <c r="AC20" s="88">
        <f t="shared" si="35"/>
        <v>0</v>
      </c>
      <c r="AD20" s="88" t="s">
        <v>430</v>
      </c>
      <c r="AE20" s="89">
        <f t="shared" ref="AE20" si="36">AC$101</f>
        <v>0</v>
      </c>
      <c r="AF20" s="90">
        <f t="shared" si="14"/>
        <v>0.26444444444444443</v>
      </c>
      <c r="AG20" s="91" t="str">
        <f>IF(F20="Sim",IF(AL$1="Ok",$G20/$I20,""),"-")</f>
        <v>-</v>
      </c>
      <c r="AH20" s="90">
        <f t="shared" si="15"/>
        <v>2.0341880341880343E-2</v>
      </c>
      <c r="AI20" s="90" t="str">
        <f>IF(AL$1="Ok",IF(F$15="Sim",($G20/$I20)*(1/SUM($AR$12,$AR$13,$AR$14)),"-"),"")</f>
        <v/>
      </c>
      <c r="AJ20" s="90">
        <f>(1/I20)*'Servente com insumos'!$I$130</f>
        <v>10.9306</v>
      </c>
      <c r="AK20" s="91" t="str">
        <f>IF(F20="Sim",IF(AL$1="Ok",(1/$I20)*$AS$13,""),"-")</f>
        <v>-</v>
      </c>
      <c r="AL20" s="90">
        <f>1/(13*I20)*'encarregado sem insumos'!$I$130</f>
        <v>0.60053504273504277</v>
      </c>
      <c r="AM20" s="90" t="str">
        <f t="shared" ref="AM20" si="37">IF(AL$1="Ok",IF(F$15="Sim",$AR$15/(SUM($AR$12,$AR$13,$AR$14)*$I20)*$AS$15,"-"),"")</f>
        <v/>
      </c>
      <c r="AN20" s="97">
        <f t="shared" si="18"/>
        <v>11.531135042735043</v>
      </c>
      <c r="AO20" s="92">
        <f t="shared" si="19"/>
        <v>1300.7414000000001</v>
      </c>
      <c r="AP20" s="91"/>
      <c r="AQ20" s="92">
        <f t="shared" si="20"/>
        <v>71.463670085470085</v>
      </c>
      <c r="AR20" s="90" t="str">
        <f t="shared" si="21"/>
        <v/>
      </c>
      <c r="AS20" s="93">
        <f t="shared" si="22"/>
        <v>1372.2050700854702</v>
      </c>
    </row>
    <row r="21" spans="1:45">
      <c r="A21" s="98"/>
      <c r="B21" s="285" t="s">
        <v>463</v>
      </c>
      <c r="C21" s="285"/>
      <c r="D21" s="285"/>
      <c r="E21" s="285"/>
      <c r="F21" s="78"/>
      <c r="G21" s="99">
        <f>SUM(G3:G20)</f>
        <v>20097</v>
      </c>
      <c r="H21" s="99" t="s">
        <v>22</v>
      </c>
      <c r="I21" s="99"/>
      <c r="J21" s="99"/>
      <c r="K21" s="99"/>
      <c r="L21" s="99"/>
      <c r="M21" s="99"/>
      <c r="N21" s="99"/>
      <c r="O21" s="99"/>
      <c r="P21" s="99"/>
      <c r="Q21" s="99"/>
      <c r="R21" s="99"/>
      <c r="S21" s="99"/>
      <c r="T21" s="99"/>
      <c r="U21" s="99"/>
      <c r="V21" s="99"/>
      <c r="W21" s="99"/>
      <c r="X21" s="99"/>
      <c r="Y21" s="99"/>
      <c r="Z21" s="99"/>
      <c r="AA21" s="99"/>
      <c r="AB21" s="99" t="s">
        <v>22</v>
      </c>
      <c r="AC21" s="312" t="s">
        <v>22</v>
      </c>
      <c r="AD21" s="312"/>
      <c r="AE21" s="312"/>
      <c r="AF21" s="100">
        <f t="shared" ref="AF21:AR21" si="38">SUM(AF3:AF20)</f>
        <v>10.999791740618058</v>
      </c>
      <c r="AG21" s="100">
        <f t="shared" si="38"/>
        <v>2</v>
      </c>
      <c r="AH21" s="100">
        <f t="shared" si="38"/>
        <v>0.99998398004754274</v>
      </c>
      <c r="AI21" s="100">
        <f t="shared" si="38"/>
        <v>0</v>
      </c>
      <c r="AJ21" s="100">
        <f t="shared" si="38"/>
        <v>66.920994720134303</v>
      </c>
      <c r="AK21" s="100">
        <f t="shared" si="38"/>
        <v>44.699088333333336</v>
      </c>
      <c r="AL21" s="100">
        <f>SUM(AL3:AL20)</f>
        <v>6.3340552504260437</v>
      </c>
      <c r="AM21" s="100">
        <f t="shared" si="38"/>
        <v>0</v>
      </c>
      <c r="AN21" s="100">
        <f t="shared" si="38"/>
        <v>117.9541383038937</v>
      </c>
      <c r="AO21" s="101">
        <f t="shared" si="38"/>
        <v>54105.445619999875</v>
      </c>
      <c r="AP21" s="101">
        <f t="shared" si="38"/>
        <v>9091.34</v>
      </c>
      <c r="AQ21" s="100">
        <f t="shared" si="38"/>
        <v>3513.0737198244233</v>
      </c>
      <c r="AR21" s="102">
        <f t="shared" si="38"/>
        <v>0</v>
      </c>
      <c r="AS21" s="101">
        <f>SUM(AS3:AS20)</f>
        <v>66709.85933982431</v>
      </c>
    </row>
    <row r="30" spans="1:45">
      <c r="AK30" t="s">
        <v>467</v>
      </c>
    </row>
    <row r="31" spans="1:45">
      <c r="AH31" t="s">
        <v>468</v>
      </c>
      <c r="AI31" t="s">
        <v>469</v>
      </c>
      <c r="AJ31">
        <v>16</v>
      </c>
      <c r="AK31">
        <v>188.76</v>
      </c>
    </row>
    <row r="32" spans="1:45">
      <c r="AI32" t="s">
        <v>470</v>
      </c>
      <c r="AJ32">
        <v>8</v>
      </c>
      <c r="AK32">
        <v>1132.5999999999999</v>
      </c>
    </row>
  </sheetData>
  <mergeCells count="44">
    <mergeCell ref="A1:A2"/>
    <mergeCell ref="B1:B2"/>
    <mergeCell ref="C1:C2"/>
    <mergeCell ref="D1:E2"/>
    <mergeCell ref="F1:F2"/>
    <mergeCell ref="D10:E10"/>
    <mergeCell ref="AJ1:AN1"/>
    <mergeCell ref="AO1:AS1"/>
    <mergeCell ref="J2:L2"/>
    <mergeCell ref="M2:O2"/>
    <mergeCell ref="P2:U2"/>
    <mergeCell ref="V2:AA2"/>
    <mergeCell ref="H1:H2"/>
    <mergeCell ref="I1:I2"/>
    <mergeCell ref="J1:AA1"/>
    <mergeCell ref="AB1:AB2"/>
    <mergeCell ref="AC1:AE2"/>
    <mergeCell ref="AF1:AI1"/>
    <mergeCell ref="G1:G2"/>
    <mergeCell ref="D11:E11"/>
    <mergeCell ref="D12:E12"/>
    <mergeCell ref="A13:A15"/>
    <mergeCell ref="B13:B15"/>
    <mergeCell ref="D13:E13"/>
    <mergeCell ref="D14:E14"/>
    <mergeCell ref="D15:E15"/>
    <mergeCell ref="A3:A12"/>
    <mergeCell ref="B3:B12"/>
    <mergeCell ref="D3:E3"/>
    <mergeCell ref="D4:E4"/>
    <mergeCell ref="D5:E5"/>
    <mergeCell ref="D6:E6"/>
    <mergeCell ref="D7:E7"/>
    <mergeCell ref="D8:E8"/>
    <mergeCell ref="D9:E9"/>
    <mergeCell ref="D20:E20"/>
    <mergeCell ref="B21:E21"/>
    <mergeCell ref="AC21:AE21"/>
    <mergeCell ref="A16:A18"/>
    <mergeCell ref="B16:B18"/>
    <mergeCell ref="D16:E16"/>
    <mergeCell ref="D17:E17"/>
    <mergeCell ref="D18:E18"/>
    <mergeCell ref="D19:E19"/>
  </mergeCells>
  <dataValidations disablePrompts="1" count="1">
    <dataValidation allowBlank="1" showInputMessage="1" showErrorMessage="1" sqref="AF3:AF20 AO3:AO20" xr:uid="{3B54D8CF-71D7-4C26-BD79-6AC095EC8E6A}"/>
  </dataValidation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821DB-BBAA-40FB-8EDC-30E8B69A752B}">
  <dimension ref="A1:AL133"/>
  <sheetViews>
    <sheetView topLeftCell="A15" workbookViewId="0">
      <selection activeCell="G24" sqref="G24"/>
    </sheetView>
  </sheetViews>
  <sheetFormatPr defaultColWidth="9.140625" defaultRowHeight="12.75"/>
  <cols>
    <col min="1" max="1" width="4.85546875" style="110" customWidth="1"/>
    <col min="2" max="2" width="6.5703125" style="138" customWidth="1"/>
    <col min="3" max="3" width="38.85546875" style="138" customWidth="1"/>
    <col min="4" max="4" width="10.5703125" style="138" customWidth="1"/>
    <col min="5" max="5" width="9.7109375" style="138" customWidth="1"/>
    <col min="6" max="6" width="9.85546875" style="139" customWidth="1"/>
    <col min="7" max="7" width="10.7109375" style="138" customWidth="1"/>
    <col min="8" max="8" width="8.42578125" style="138" customWidth="1"/>
    <col min="9" max="9" width="7.5703125" style="138" customWidth="1"/>
    <col min="10" max="10" width="6.28515625" style="138" customWidth="1"/>
    <col min="11" max="11" width="10.42578125" style="138" customWidth="1"/>
    <col min="12" max="12" width="12" style="106" customWidth="1"/>
    <col min="13" max="13" width="8.42578125" style="106" customWidth="1"/>
    <col min="14" max="14" width="7.5703125" style="106" customWidth="1"/>
    <col min="15" max="15" width="7.7109375" style="106" customWidth="1"/>
    <col min="16" max="16" width="12" style="106" customWidth="1"/>
    <col min="17" max="17" width="2.140625" style="106" customWidth="1"/>
    <col min="18" max="18" width="25" style="106" customWidth="1"/>
    <col min="19" max="19" width="13.7109375" style="108" customWidth="1"/>
    <col min="20" max="20" width="9.140625" style="179"/>
    <col min="21" max="16384" width="9.140625" style="110"/>
  </cols>
  <sheetData>
    <row r="1" spans="1:38" ht="15.75">
      <c r="A1" s="252" t="s">
        <v>471</v>
      </c>
      <c r="B1" s="252"/>
      <c r="C1" s="252"/>
      <c r="D1" s="252"/>
      <c r="E1" s="253" t="str">
        <f>A18</f>
        <v>Planilha de custos anuais com insumos</v>
      </c>
      <c r="F1" s="253"/>
      <c r="G1" s="253"/>
      <c r="H1" s="253"/>
      <c r="I1" s="253"/>
      <c r="J1" s="253"/>
      <c r="K1" s="253"/>
      <c r="L1" s="253"/>
      <c r="M1" s="253"/>
      <c r="N1" s="253"/>
      <c r="O1" s="253"/>
      <c r="P1" s="253"/>
      <c r="R1" s="107"/>
      <c r="T1" s="109" t="s">
        <v>187</v>
      </c>
      <c r="U1" s="254" t="s">
        <v>188</v>
      </c>
      <c r="V1" s="254"/>
      <c r="W1" s="254"/>
    </row>
    <row r="2" spans="1:38" ht="15.75">
      <c r="A2" s="252"/>
      <c r="B2" s="252"/>
      <c r="C2" s="252"/>
      <c r="D2" s="252"/>
      <c r="E2" s="111"/>
      <c r="F2" s="112"/>
      <c r="G2" s="112"/>
      <c r="H2" s="111"/>
      <c r="I2" s="111"/>
      <c r="J2" s="111"/>
      <c r="K2" s="112"/>
      <c r="L2" s="112"/>
      <c r="R2" s="107"/>
      <c r="T2" s="255" t="s">
        <v>189</v>
      </c>
      <c r="U2" s="255"/>
      <c r="V2" s="255"/>
      <c r="W2" s="255"/>
    </row>
    <row r="3" spans="1:38" s="114" customFormat="1" ht="12" customHeight="1">
      <c r="C3" s="115"/>
      <c r="D3" s="115"/>
      <c r="E3" s="115"/>
      <c r="F3" s="116"/>
      <c r="G3" s="115"/>
      <c r="H3" s="115"/>
      <c r="I3" s="115"/>
      <c r="J3" s="115"/>
      <c r="K3" s="115"/>
      <c r="M3" s="115"/>
      <c r="N3" s="115"/>
      <c r="O3" s="115"/>
      <c r="S3" s="117"/>
      <c r="T3" s="255"/>
      <c r="U3" s="255"/>
      <c r="V3" s="255"/>
      <c r="W3" s="255"/>
      <c r="AB3" s="115"/>
      <c r="AC3" s="115"/>
      <c r="AD3" s="115"/>
      <c r="AE3" s="115"/>
      <c r="AF3" s="115"/>
      <c r="AG3" s="115"/>
      <c r="AH3" s="115"/>
      <c r="AI3" s="115"/>
      <c r="AJ3" s="256"/>
      <c r="AK3" s="244"/>
      <c r="AL3" s="244"/>
    </row>
    <row r="4" spans="1:38" s="114" customFormat="1" ht="12" customHeight="1">
      <c r="A4" s="245" t="str">
        <f>IF(COUNT(F24:F28,F40:F112,F123:F127)&lt;219,"Dados insuficientes. Preencha todos os dados destacados em amarelo.","")</f>
        <v>Dados insuficientes. Preencha todos os dados destacados em amarelo.</v>
      </c>
      <c r="B4" s="245"/>
      <c r="C4" s="245"/>
      <c r="D4" s="245"/>
      <c r="E4" s="245"/>
      <c r="F4" s="245"/>
      <c r="G4" s="245"/>
      <c r="H4" s="245"/>
      <c r="I4" s="245"/>
      <c r="J4" s="245"/>
      <c r="K4" s="245"/>
      <c r="L4" s="245"/>
      <c r="M4" s="245"/>
      <c r="N4" s="245"/>
      <c r="O4" s="245"/>
      <c r="P4" s="246"/>
      <c r="Q4" s="118" t="s">
        <v>190</v>
      </c>
      <c r="R4" s="119"/>
      <c r="S4" s="117"/>
      <c r="T4" s="113"/>
      <c r="U4" s="113"/>
      <c r="V4" s="113"/>
      <c r="W4" s="113"/>
      <c r="AB4" s="115"/>
      <c r="AC4" s="115"/>
      <c r="AD4" s="115"/>
      <c r="AE4" s="115"/>
      <c r="AF4" s="115"/>
      <c r="AG4" s="115"/>
      <c r="AH4" s="115"/>
      <c r="AI4" s="115"/>
      <c r="AJ4" s="256"/>
      <c r="AK4" s="244"/>
      <c r="AL4" s="244"/>
    </row>
    <row r="5" spans="1:38" s="114" customFormat="1" ht="12" customHeight="1">
      <c r="C5" s="115"/>
      <c r="D5" s="115"/>
      <c r="E5" s="115"/>
      <c r="F5" s="116">
        <v>5.0000000000000001E-3</v>
      </c>
      <c r="G5" s="115"/>
      <c r="H5" s="115"/>
      <c r="I5" s="115"/>
      <c r="J5" s="115"/>
      <c r="K5" s="115"/>
      <c r="M5" s="115"/>
      <c r="N5" s="115"/>
      <c r="O5" s="115"/>
      <c r="Q5" s="120"/>
      <c r="R5" s="121" t="s">
        <v>191</v>
      </c>
      <c r="S5" s="117"/>
      <c r="T5" s="113"/>
      <c r="U5" s="113"/>
      <c r="V5" s="113"/>
      <c r="W5" s="113"/>
      <c r="AB5" s="115"/>
      <c r="AC5" s="115"/>
      <c r="AD5" s="115"/>
      <c r="AE5" s="115"/>
      <c r="AF5" s="115"/>
      <c r="AG5" s="115"/>
      <c r="AH5" s="115"/>
      <c r="AI5" s="115"/>
      <c r="AJ5" s="256"/>
      <c r="AK5" s="244"/>
      <c r="AL5" s="244"/>
    </row>
    <row r="6" spans="1:38" s="114" customFormat="1" ht="12">
      <c r="B6" s="115"/>
      <c r="C6" s="115"/>
      <c r="D6" s="115"/>
      <c r="E6" s="115"/>
      <c r="F6" s="116"/>
      <c r="G6" s="247" t="str">
        <f>L14</f>
        <v>Custo anual por tipo de posto (R$)</v>
      </c>
      <c r="H6" s="248"/>
      <c r="I6" s="248"/>
      <c r="J6" s="248"/>
      <c r="K6" s="248"/>
      <c r="L6" s="249" t="s">
        <v>192</v>
      </c>
      <c r="M6" s="250"/>
      <c r="N6" s="250"/>
      <c r="O6" s="251"/>
      <c r="Q6" s="122"/>
      <c r="R6" s="123" t="s">
        <v>193</v>
      </c>
      <c r="S6" s="117"/>
      <c r="AB6" s="115"/>
      <c r="AC6" s="115"/>
      <c r="AD6" s="115"/>
      <c r="AE6" s="115"/>
      <c r="AF6" s="115"/>
      <c r="AG6" s="115"/>
      <c r="AH6" s="115"/>
      <c r="AI6" s="115"/>
      <c r="AJ6" s="256"/>
      <c r="AK6" s="244"/>
      <c r="AL6" s="244"/>
    </row>
    <row r="7" spans="1:38" s="114" customFormat="1" ht="36">
      <c r="C7" s="115"/>
      <c r="D7" s="115"/>
      <c r="E7" s="115"/>
      <c r="F7" s="116"/>
      <c r="G7" s="124" t="str">
        <f>L15</f>
        <v>Serv. limpeza</v>
      </c>
      <c r="H7" s="124" t="str">
        <f>M15</f>
        <v>Serv. limpeza insalub.</v>
      </c>
      <c r="I7" s="124" t="str">
        <f>N15</f>
        <v>Encarregado</v>
      </c>
      <c r="J7" s="124" t="str">
        <f>O15</f>
        <v>Supervisor</v>
      </c>
      <c r="K7" s="125" t="str">
        <f>P15</f>
        <v>Total</v>
      </c>
      <c r="L7" s="124" t="str">
        <f>G23</f>
        <v>Serv. limpeza</v>
      </c>
      <c r="M7" s="124" t="str">
        <f t="shared" ref="M7:O7" si="0">H23</f>
        <v>Serv. limpeza insalub.</v>
      </c>
      <c r="N7" s="124" t="str">
        <f t="shared" si="0"/>
        <v>Encarregado</v>
      </c>
      <c r="O7" s="124" t="str">
        <f t="shared" si="0"/>
        <v>Supervisor</v>
      </c>
    </row>
    <row r="8" spans="1:38" s="114" customFormat="1" ht="12">
      <c r="C8" s="115"/>
      <c r="D8" s="257" t="s">
        <v>194</v>
      </c>
      <c r="E8" s="257"/>
      <c r="F8" s="257"/>
      <c r="G8" s="126">
        <f>L29</f>
        <v>3168.6599999999994</v>
      </c>
      <c r="H8" s="127">
        <f>IF($S$10=0,0,SUMIF($S$24:$S$133,$D8,M$24:U$133))</f>
        <v>576.12</v>
      </c>
      <c r="I8" s="127">
        <f>IF($S$11=0,0,SUMIF($S$24:$S$133,$D8,N$24:U$133))</f>
        <v>360.90000000000003</v>
      </c>
      <c r="J8" s="127">
        <f>IF($S$12=0,0,SUMIF($S$24:$S$133,$D8,O$24:U$133))</f>
        <v>0</v>
      </c>
      <c r="K8" s="128">
        <f>SUMIF($S$24:$S$133,$D8,P$24:V$133)</f>
        <v>4105.6799999999994</v>
      </c>
      <c r="L8" s="127">
        <f>IF(ISERR(ROUND((G8/12)/$S$9,2)),0,ROUND((G8/12)/$S$9,2))</f>
        <v>24.01</v>
      </c>
      <c r="M8" s="127">
        <f>IF(ISERR(ROUND((H8/12)/$S$10,2)),0,ROUND((H8/12)/$S$10,2))</f>
        <v>24.01</v>
      </c>
      <c r="N8" s="127">
        <f>IF(ISERR(ROUND((I8/12)/$S$11,2)),0,ROUND((I8/12)/$S$11,2))</f>
        <v>30.08</v>
      </c>
      <c r="O8" s="127">
        <f>IF(ISERR(ROUND((J8/12)/$S$12,2)),0,ROUND((J8/12)/$S$12,2))</f>
        <v>0</v>
      </c>
      <c r="R8" s="129" t="s">
        <v>195</v>
      </c>
      <c r="S8" s="130" t="s">
        <v>196</v>
      </c>
    </row>
    <row r="9" spans="1:38" s="114" customFormat="1" ht="12">
      <c r="C9" s="115"/>
      <c r="D9" s="257" t="s">
        <v>197</v>
      </c>
      <c r="E9" s="257"/>
      <c r="F9" s="257"/>
      <c r="G9" s="126">
        <f>IF($S$9=0,0,SUMIF($S$24:$S$133,$D9,L$24:P$133))</f>
        <v>145071.89999999994</v>
      </c>
      <c r="H9" s="127">
        <f>IF($S$10=0,0,SUMIF($S$24:$S$133,$D9,M$24:U$133))</f>
        <v>180.76</v>
      </c>
      <c r="I9" s="127">
        <f>IF($S$11=0,0,SUMIF($S$24:$S$133,$D9,N$24:U$133))</f>
        <v>90.38</v>
      </c>
      <c r="J9" s="127">
        <f>IF($S$12=0,0,SUMIF($S$24:$S$133,$D9,O$24:U$133))</f>
        <v>0</v>
      </c>
      <c r="K9" s="128">
        <f>SUMIF($S$24:$S$133,$D9,P$24:V$133)</f>
        <v>145343.03999999995</v>
      </c>
      <c r="L9" s="127">
        <f>IF(ISERR(ROUND((G9/12)/$S$9,2)),0,ROUND((G9/12)/$S$9,2))</f>
        <v>1099.03</v>
      </c>
      <c r="M9" s="127">
        <f>IF(ISERR(ROUND((H9/12)/$S$10,2)),0,ROUND((H9/12)/$S$10,2))</f>
        <v>7.53</v>
      </c>
      <c r="N9" s="127">
        <f>IF(ISERR(ROUND((I9/12)/$S$11,2)),0,ROUND((I9/12)/$S$11,2))</f>
        <v>7.53</v>
      </c>
      <c r="O9" s="127">
        <f>IF(ISERR(ROUND((J9/12)/$S$12,2)),0,ROUND((J9/12)/$S$12,2))</f>
        <v>0</v>
      </c>
      <c r="R9" s="131" t="s">
        <v>44</v>
      </c>
      <c r="S9" s="132">
        <v>11</v>
      </c>
    </row>
    <row r="10" spans="1:38" s="114" customFormat="1" ht="12">
      <c r="C10" s="115"/>
      <c r="D10" s="257" t="s">
        <v>198</v>
      </c>
      <c r="E10" s="257"/>
      <c r="F10" s="257"/>
      <c r="G10" s="126">
        <f>IF($S$9=0,0,SUMIF($S$24:$S$133,$D10,L$24:P$133))</f>
        <v>2977.88</v>
      </c>
      <c r="H10" s="127">
        <f>IF($S$10=0,0,SUMIF($S$24:$S$133,$D10,M$24:U$133))</f>
        <v>0</v>
      </c>
      <c r="I10" s="127">
        <f>IF($S$11=0,0,SUMIF($S$24:$S$133,$D10,N$24:U$133))</f>
        <v>0</v>
      </c>
      <c r="J10" s="127">
        <f>IF($S$12=0,0,SUMIF($S$24:$S$133,$D10,O$24:U$133))</f>
        <v>0</v>
      </c>
      <c r="K10" s="128">
        <f>SUMIF($S$24:$S$133,$D10,P$24:V$133)</f>
        <v>2977.88</v>
      </c>
      <c r="L10" s="127">
        <f>IF(ISERR(ROUND((G10/12)/$S$9,2)),0,ROUND((G10/12)/$S$9,2))</f>
        <v>22.56</v>
      </c>
      <c r="M10" s="127">
        <f>IF(ISERR(ROUND((H10/12)/$S$10,2)),0,ROUND((H10/12)/$S$10,2))</f>
        <v>0</v>
      </c>
      <c r="N10" s="127">
        <f>IF(ISERR(ROUND((I10/12)/$S$11,2)),0,ROUND((I10/12)/$S$11,2))</f>
        <v>0</v>
      </c>
      <c r="O10" s="127">
        <f>IF(ISERR(ROUND((J10/12)/$S$12,2)),0,ROUND((J10/12)/$S$12,2))</f>
        <v>0</v>
      </c>
      <c r="R10" s="131" t="s">
        <v>199</v>
      </c>
      <c r="S10" s="132">
        <v>2</v>
      </c>
    </row>
    <row r="11" spans="1:38" s="114" customFormat="1" ht="12">
      <c r="C11" s="115"/>
      <c r="D11" s="258"/>
      <c r="E11" s="258"/>
      <c r="F11" s="258"/>
      <c r="G11" s="126"/>
      <c r="H11" s="127"/>
      <c r="I11" s="127"/>
      <c r="J11" s="127"/>
      <c r="K11" s="133"/>
      <c r="L11" s="127"/>
      <c r="M11" s="127"/>
      <c r="N11" s="127"/>
      <c r="O11" s="127"/>
      <c r="R11" s="131" t="s">
        <v>200</v>
      </c>
      <c r="S11" s="132">
        <v>1</v>
      </c>
    </row>
    <row r="12" spans="1:38" s="114" customFormat="1" ht="12">
      <c r="A12" s="134"/>
      <c r="C12" s="115"/>
      <c r="D12" s="257" t="s">
        <v>201</v>
      </c>
      <c r="E12" s="257"/>
      <c r="F12" s="257"/>
      <c r="G12" s="135">
        <f t="shared" ref="G12:O12" si="1">SUM(G8:G11)</f>
        <v>151218.43999999994</v>
      </c>
      <c r="H12" s="127">
        <f t="shared" si="1"/>
        <v>756.88</v>
      </c>
      <c r="I12" s="127">
        <f t="shared" si="1"/>
        <v>451.28000000000003</v>
      </c>
      <c r="J12" s="127">
        <f t="shared" si="1"/>
        <v>0</v>
      </c>
      <c r="K12" s="135">
        <f t="shared" si="1"/>
        <v>152426.59999999995</v>
      </c>
      <c r="L12" s="135">
        <f t="shared" si="1"/>
        <v>1145.5999999999999</v>
      </c>
      <c r="M12" s="127">
        <f t="shared" si="1"/>
        <v>31.540000000000003</v>
      </c>
      <c r="N12" s="127">
        <f t="shared" si="1"/>
        <v>37.61</v>
      </c>
      <c r="O12" s="127">
        <f t="shared" si="1"/>
        <v>0</v>
      </c>
      <c r="P12" s="136"/>
      <c r="Q12" s="136"/>
      <c r="R12" s="131" t="s">
        <v>202</v>
      </c>
      <c r="S12" s="132">
        <v>0</v>
      </c>
    </row>
    <row r="13" spans="1:38" s="114" customFormat="1" ht="12">
      <c r="C13" s="137"/>
      <c r="D13" s="137"/>
      <c r="E13" s="137"/>
      <c r="F13" s="137"/>
      <c r="G13" s="115"/>
      <c r="H13" s="115"/>
      <c r="I13" s="115"/>
      <c r="J13" s="115"/>
      <c r="K13" s="115"/>
      <c r="L13" s="136"/>
      <c r="M13" s="136"/>
      <c r="N13" s="136"/>
      <c r="O13" s="136"/>
      <c r="P13" s="136"/>
      <c r="Q13" s="136"/>
      <c r="R13" s="136"/>
      <c r="S13" s="117"/>
    </row>
    <row r="14" spans="1:38">
      <c r="G14" s="266" t="s">
        <v>203</v>
      </c>
      <c r="H14" s="267"/>
      <c r="I14" s="267"/>
      <c r="J14" s="267"/>
      <c r="K14" s="268"/>
      <c r="L14" s="262" t="s">
        <v>204</v>
      </c>
      <c r="M14" s="263"/>
      <c r="N14" s="263"/>
      <c r="O14" s="263"/>
      <c r="P14" s="264"/>
      <c r="Q14" s="140"/>
      <c r="R14" s="136"/>
      <c r="T14" s="110"/>
    </row>
    <row r="15" spans="1:38" s="115" customFormat="1" ht="36">
      <c r="A15" s="141" t="s">
        <v>2</v>
      </c>
      <c r="B15" s="142" t="s">
        <v>205</v>
      </c>
      <c r="C15" s="142" t="s">
        <v>206</v>
      </c>
      <c r="D15" s="142" t="s">
        <v>207</v>
      </c>
      <c r="E15" s="142" t="s">
        <v>208</v>
      </c>
      <c r="F15" s="143" t="s">
        <v>209</v>
      </c>
      <c r="G15" s="142" t="s">
        <v>210</v>
      </c>
      <c r="H15" s="142" t="s">
        <v>211</v>
      </c>
      <c r="I15" s="142" t="s">
        <v>200</v>
      </c>
      <c r="J15" s="142" t="s">
        <v>202</v>
      </c>
      <c r="K15" s="142" t="s">
        <v>201</v>
      </c>
      <c r="L15" s="143" t="s">
        <v>210</v>
      </c>
      <c r="M15" s="143" t="s">
        <v>211</v>
      </c>
      <c r="N15" s="143" t="s">
        <v>200</v>
      </c>
      <c r="O15" s="143" t="s">
        <v>202</v>
      </c>
      <c r="P15" s="143" t="s">
        <v>201</v>
      </c>
      <c r="Q15" s="144"/>
      <c r="R15" s="136"/>
      <c r="S15" s="145" t="s">
        <v>212</v>
      </c>
    </row>
    <row r="16" spans="1:38">
      <c r="R16" s="136"/>
      <c r="T16" s="110"/>
    </row>
    <row r="17" spans="1:37">
      <c r="A17" s="265" t="s">
        <v>471</v>
      </c>
      <c r="B17" s="265"/>
      <c r="C17" s="265"/>
      <c r="D17" s="265"/>
      <c r="E17" s="265"/>
      <c r="F17" s="265"/>
      <c r="G17" s="265"/>
      <c r="H17" s="265"/>
      <c r="I17" s="265"/>
      <c r="J17" s="265"/>
      <c r="K17" s="265"/>
      <c r="L17" s="265"/>
      <c r="M17" s="265"/>
      <c r="N17" s="265"/>
      <c r="O17" s="265"/>
      <c r="P17" s="265"/>
      <c r="Q17" s="146"/>
      <c r="R17" s="136"/>
      <c r="S17" s="110"/>
      <c r="T17" s="110"/>
    </row>
    <row r="18" spans="1:37">
      <c r="A18" s="265" t="s">
        <v>213</v>
      </c>
      <c r="B18" s="265"/>
      <c r="C18" s="265"/>
      <c r="D18" s="265"/>
      <c r="E18" s="265"/>
      <c r="F18" s="265"/>
      <c r="G18" s="265"/>
      <c r="H18" s="265"/>
      <c r="I18" s="265"/>
      <c r="J18" s="265"/>
      <c r="K18" s="265"/>
      <c r="L18" s="265"/>
      <c r="M18" s="265"/>
      <c r="N18" s="265"/>
      <c r="O18" s="265"/>
      <c r="P18" s="265"/>
      <c r="Q18" s="146"/>
      <c r="R18" s="136"/>
      <c r="S18" s="110"/>
      <c r="T18" s="110"/>
    </row>
    <row r="19" spans="1:37">
      <c r="A19" s="146"/>
      <c r="B19" s="146"/>
      <c r="C19" s="146"/>
      <c r="D19" s="146"/>
      <c r="E19" s="147"/>
      <c r="F19" s="146"/>
      <c r="G19" s="146"/>
      <c r="H19" s="146"/>
      <c r="I19" s="146"/>
      <c r="J19" s="146"/>
      <c r="K19" s="146"/>
      <c r="L19" s="146"/>
      <c r="M19" s="146"/>
      <c r="N19" s="146"/>
      <c r="O19" s="146"/>
      <c r="P19" s="146"/>
      <c r="Q19" s="146"/>
      <c r="R19" s="136"/>
      <c r="S19" s="146"/>
      <c r="T19" s="110"/>
    </row>
    <row r="20" spans="1:37">
      <c r="A20" s="148" t="str">
        <f>D8</f>
        <v>Uniformes (kit básico)</v>
      </c>
      <c r="R20" s="136"/>
      <c r="T20" s="110"/>
    </row>
    <row r="21" spans="1:37">
      <c r="R21" s="136"/>
      <c r="T21" s="110"/>
    </row>
    <row r="22" spans="1:37">
      <c r="G22" s="266" t="str">
        <f>G14</f>
        <v>Qtde. anual por tipo de posto</v>
      </c>
      <c r="H22" s="267"/>
      <c r="I22" s="267"/>
      <c r="J22" s="267"/>
      <c r="K22" s="268"/>
      <c r="L22" s="262" t="str">
        <f>L14</f>
        <v>Custo anual por tipo de posto (R$)</v>
      </c>
      <c r="M22" s="263"/>
      <c r="N22" s="263"/>
      <c r="O22" s="263"/>
      <c r="P22" s="264"/>
      <c r="Q22" s="140"/>
      <c r="R22" s="136"/>
      <c r="T22" s="110"/>
    </row>
    <row r="23" spans="1:37" ht="38.25">
      <c r="A23" s="149" t="s">
        <v>2</v>
      </c>
      <c r="B23" s="149" t="s">
        <v>205</v>
      </c>
      <c r="C23" s="150" t="s">
        <v>206</v>
      </c>
      <c r="D23" s="151" t="s">
        <v>207</v>
      </c>
      <c r="E23" s="149" t="s">
        <v>208</v>
      </c>
      <c r="F23" s="151" t="s">
        <v>209</v>
      </c>
      <c r="G23" s="149" t="s">
        <v>210</v>
      </c>
      <c r="H23" s="149" t="s">
        <v>211</v>
      </c>
      <c r="I23" s="149" t="s">
        <v>200</v>
      </c>
      <c r="J23" s="149" t="s">
        <v>202</v>
      </c>
      <c r="K23" s="149" t="s">
        <v>201</v>
      </c>
      <c r="L23" s="152" t="str">
        <f>$G$23</f>
        <v>Serv. limpeza</v>
      </c>
      <c r="M23" s="152" t="str">
        <f>$H$23</f>
        <v>Serv. limpeza insalub.</v>
      </c>
      <c r="N23" s="152" t="str">
        <f>$I$23</f>
        <v>Encarregado</v>
      </c>
      <c r="O23" s="152" t="str">
        <f>$J$23</f>
        <v>Supervisor</v>
      </c>
      <c r="P23" s="152" t="str">
        <f>$K$23</f>
        <v>Total</v>
      </c>
      <c r="Q23" s="153"/>
      <c r="R23" s="136"/>
      <c r="S23" s="154" t="str">
        <f>S$15</f>
        <v>Grupo de insumos</v>
      </c>
      <c r="T23" s="110"/>
      <c r="AB23" s="138"/>
      <c r="AC23" s="138"/>
      <c r="AD23" s="138"/>
      <c r="AE23" s="138"/>
      <c r="AF23" s="138"/>
      <c r="AG23" s="138"/>
      <c r="AH23" s="138"/>
      <c r="AI23" s="138"/>
      <c r="AJ23" s="138"/>
      <c r="AK23" s="138"/>
    </row>
    <row r="24" spans="1:37" ht="51">
      <c r="A24" s="155">
        <v>1</v>
      </c>
      <c r="B24" s="156" t="s">
        <v>214</v>
      </c>
      <c r="C24" s="157" t="s">
        <v>215</v>
      </c>
      <c r="D24" s="158" t="s">
        <v>22</v>
      </c>
      <c r="E24" s="156" t="s">
        <v>216</v>
      </c>
      <c r="F24" s="159">
        <v>53.26</v>
      </c>
      <c r="G24" s="156">
        <v>33</v>
      </c>
      <c r="H24" s="156">
        <v>6</v>
      </c>
      <c r="I24" s="156">
        <v>0</v>
      </c>
      <c r="J24" s="156">
        <v>0</v>
      </c>
      <c r="K24" s="156">
        <f>SUM(G24:J24)</f>
        <v>39</v>
      </c>
      <c r="L24" s="160">
        <f>$F24*G24</f>
        <v>1757.58</v>
      </c>
      <c r="M24" s="160">
        <f t="shared" ref="M24:O28" si="2">$F24*H24</f>
        <v>319.56</v>
      </c>
      <c r="N24" s="160">
        <f t="shared" si="2"/>
        <v>0</v>
      </c>
      <c r="O24" s="160">
        <f t="shared" si="2"/>
        <v>0</v>
      </c>
      <c r="P24" s="160">
        <f>SUM(L24:O24)</f>
        <v>2077.14</v>
      </c>
      <c r="Q24" s="161"/>
      <c r="R24" s="136"/>
      <c r="S24" s="108" t="str">
        <f>$D$8</f>
        <v>Uniformes (kit básico)</v>
      </c>
      <c r="T24" s="162" t="str">
        <f>S24</f>
        <v>Uniformes (kit básico)</v>
      </c>
    </row>
    <row r="25" spans="1:37" ht="51">
      <c r="A25" s="155">
        <v>2</v>
      </c>
      <c r="B25" s="156" t="s">
        <v>214</v>
      </c>
      <c r="C25" s="157" t="s">
        <v>217</v>
      </c>
      <c r="D25" s="158" t="s">
        <v>22</v>
      </c>
      <c r="E25" s="156" t="s">
        <v>216</v>
      </c>
      <c r="F25" s="159">
        <v>77.540000000000006</v>
      </c>
      <c r="G25" s="156">
        <v>0</v>
      </c>
      <c r="H25" s="156">
        <v>0</v>
      </c>
      <c r="I25" s="156">
        <v>3</v>
      </c>
      <c r="J25" s="156">
        <v>0</v>
      </c>
      <c r="K25" s="156">
        <f t="shared" ref="K25:K28" si="3">SUM(G25:J25)</f>
        <v>3</v>
      </c>
      <c r="L25" s="160">
        <f t="shared" ref="L25:L28" si="4">$F25*G25</f>
        <v>0</v>
      </c>
      <c r="M25" s="160">
        <f t="shared" si="2"/>
        <v>0</v>
      </c>
      <c r="N25" s="160">
        <f t="shared" si="2"/>
        <v>232.62</v>
      </c>
      <c r="O25" s="160">
        <f t="shared" si="2"/>
        <v>0</v>
      </c>
      <c r="P25" s="160">
        <f t="shared" ref="P25:P26" si="5">SUM(L25:O25)</f>
        <v>232.62</v>
      </c>
      <c r="Q25" s="161"/>
      <c r="R25" s="136"/>
      <c r="S25" s="108" t="str">
        <f t="shared" ref="S25:S28" si="6">$D$8</f>
        <v>Uniformes (kit básico)</v>
      </c>
      <c r="T25" s="110"/>
    </row>
    <row r="26" spans="1:37" ht="89.25">
      <c r="A26" s="155">
        <v>3</v>
      </c>
      <c r="B26" s="156" t="s">
        <v>214</v>
      </c>
      <c r="C26" s="157" t="s">
        <v>218</v>
      </c>
      <c r="D26" s="158" t="s">
        <v>22</v>
      </c>
      <c r="E26" s="156" t="s">
        <v>216</v>
      </c>
      <c r="F26" s="159">
        <v>26.29</v>
      </c>
      <c r="G26" s="156">
        <v>33</v>
      </c>
      <c r="H26" s="156">
        <v>6</v>
      </c>
      <c r="I26" s="156">
        <v>3</v>
      </c>
      <c r="J26" s="156">
        <v>0</v>
      </c>
      <c r="K26" s="156">
        <f t="shared" si="3"/>
        <v>42</v>
      </c>
      <c r="L26" s="160">
        <f t="shared" si="4"/>
        <v>867.56999999999994</v>
      </c>
      <c r="M26" s="160">
        <f t="shared" si="2"/>
        <v>157.74</v>
      </c>
      <c r="N26" s="160">
        <f t="shared" si="2"/>
        <v>78.87</v>
      </c>
      <c r="O26" s="160">
        <f t="shared" si="2"/>
        <v>0</v>
      </c>
      <c r="P26" s="160">
        <f t="shared" si="5"/>
        <v>1104.1799999999998</v>
      </c>
      <c r="Q26" s="161"/>
      <c r="R26" s="136"/>
      <c r="S26" s="108" t="str">
        <f t="shared" si="6"/>
        <v>Uniformes (kit básico)</v>
      </c>
      <c r="T26" s="110"/>
    </row>
    <row r="27" spans="1:37" ht="63.75">
      <c r="A27" s="155">
        <v>4</v>
      </c>
      <c r="B27" s="156" t="s">
        <v>214</v>
      </c>
      <c r="C27" s="157" t="s">
        <v>219</v>
      </c>
      <c r="D27" s="158" t="s">
        <v>22</v>
      </c>
      <c r="E27" s="156" t="s">
        <v>216</v>
      </c>
      <c r="F27" s="159">
        <v>10.74</v>
      </c>
      <c r="G27" s="156">
        <v>11</v>
      </c>
      <c r="H27" s="156">
        <v>2</v>
      </c>
      <c r="I27" s="156">
        <v>1</v>
      </c>
      <c r="J27" s="156">
        <v>0</v>
      </c>
      <c r="K27" s="156">
        <f t="shared" si="3"/>
        <v>14</v>
      </c>
      <c r="L27" s="160">
        <f t="shared" si="4"/>
        <v>118.14</v>
      </c>
      <c r="M27" s="160">
        <f t="shared" si="2"/>
        <v>21.48</v>
      </c>
      <c r="N27" s="160">
        <f>$F27*I27</f>
        <v>10.74</v>
      </c>
      <c r="O27" s="160">
        <f>$F27*J27</f>
        <v>0</v>
      </c>
      <c r="P27" s="160">
        <f>SUM(L27:O27)</f>
        <v>150.36000000000001</v>
      </c>
      <c r="Q27" s="161"/>
      <c r="R27" s="136"/>
      <c r="S27" s="108" t="str">
        <f t="shared" si="6"/>
        <v>Uniformes (kit básico)</v>
      </c>
      <c r="T27" s="110"/>
    </row>
    <row r="28" spans="1:37" ht="51">
      <c r="A28" s="155">
        <v>5</v>
      </c>
      <c r="B28" s="156" t="s">
        <v>214</v>
      </c>
      <c r="C28" s="157" t="s">
        <v>220</v>
      </c>
      <c r="D28" s="163" t="s">
        <v>22</v>
      </c>
      <c r="E28" s="164" t="s">
        <v>221</v>
      </c>
      <c r="F28" s="165">
        <v>12.89</v>
      </c>
      <c r="G28" s="156">
        <v>33</v>
      </c>
      <c r="H28" s="156">
        <v>6</v>
      </c>
      <c r="I28" s="156">
        <v>3</v>
      </c>
      <c r="J28" s="156">
        <v>0</v>
      </c>
      <c r="K28" s="156">
        <f t="shared" si="3"/>
        <v>42</v>
      </c>
      <c r="L28" s="160">
        <f t="shared" si="4"/>
        <v>425.37</v>
      </c>
      <c r="M28" s="160">
        <f t="shared" si="2"/>
        <v>77.34</v>
      </c>
      <c r="N28" s="160">
        <f t="shared" si="2"/>
        <v>38.67</v>
      </c>
      <c r="O28" s="160">
        <f t="shared" si="2"/>
        <v>0</v>
      </c>
      <c r="P28" s="160">
        <f t="shared" ref="P28" si="7">SUM(L28:O28)</f>
        <v>541.38</v>
      </c>
      <c r="Q28" s="161"/>
      <c r="R28" s="136"/>
      <c r="S28" s="108" t="str">
        <f t="shared" si="6"/>
        <v>Uniformes (kit básico)</v>
      </c>
      <c r="T28" s="110"/>
    </row>
    <row r="29" spans="1:37">
      <c r="A29" s="269" t="str">
        <f>CONCATENATE("Custo anual dos ",S28," (R$)")</f>
        <v>Custo anual dos Uniformes (kit básico) (R$)</v>
      </c>
      <c r="B29" s="270"/>
      <c r="C29" s="270"/>
      <c r="D29" s="260"/>
      <c r="E29" s="260"/>
      <c r="F29" s="260"/>
      <c r="G29" s="260"/>
      <c r="H29" s="260"/>
      <c r="I29" s="260"/>
      <c r="J29" s="260"/>
      <c r="K29" s="261"/>
      <c r="L29" s="166">
        <f>SUM(L24:L28)</f>
        <v>3168.6599999999994</v>
      </c>
      <c r="M29" s="166">
        <f t="shared" ref="M29:O29" si="8">SUM(M24:M28)</f>
        <v>576.12</v>
      </c>
      <c r="N29" s="166">
        <f t="shared" si="8"/>
        <v>360.90000000000003</v>
      </c>
      <c r="O29" s="166">
        <f t="shared" si="8"/>
        <v>0</v>
      </c>
      <c r="P29" s="166">
        <f>SUM(P24:P28)</f>
        <v>4105.6799999999994</v>
      </c>
      <c r="Q29" s="153"/>
      <c r="R29" s="136"/>
      <c r="S29" s="110"/>
      <c r="T29" s="110"/>
    </row>
    <row r="30" spans="1:37">
      <c r="A30" s="271" t="str">
        <f>CONCATENATE("Custo mensal dos ",S28," (R$)")</f>
        <v>Custo mensal dos Uniformes (kit básico) (R$)</v>
      </c>
      <c r="B30" s="260"/>
      <c r="C30" s="260"/>
      <c r="D30" s="260"/>
      <c r="E30" s="260"/>
      <c r="F30" s="260"/>
      <c r="G30" s="260"/>
      <c r="H30" s="260"/>
      <c r="I30" s="260"/>
      <c r="J30" s="260"/>
      <c r="K30" s="261"/>
      <c r="L30" s="166">
        <f>L29/12</f>
        <v>264.05499999999995</v>
      </c>
      <c r="M30" s="166">
        <f t="shared" ref="M30:P30" si="9">M29/12</f>
        <v>48.01</v>
      </c>
      <c r="N30" s="166">
        <f t="shared" si="9"/>
        <v>30.075000000000003</v>
      </c>
      <c r="O30" s="166">
        <f t="shared" si="9"/>
        <v>0</v>
      </c>
      <c r="P30" s="166">
        <f t="shared" si="9"/>
        <v>342.13999999999993</v>
      </c>
      <c r="Q30" s="153"/>
      <c r="R30" s="136"/>
      <c r="S30" s="110"/>
      <c r="T30" s="110"/>
    </row>
    <row r="31" spans="1:37">
      <c r="A31" s="271" t="str">
        <f>CONCATENATE("Custo mensal dos ",S28," por posto (R$)")</f>
        <v>Custo mensal dos Uniformes (kit básico) por posto (R$)</v>
      </c>
      <c r="B31" s="260"/>
      <c r="C31" s="260"/>
      <c r="D31" s="260"/>
      <c r="E31" s="260"/>
      <c r="F31" s="260"/>
      <c r="G31" s="260"/>
      <c r="H31" s="260"/>
      <c r="I31" s="260"/>
      <c r="J31" s="260"/>
      <c r="K31" s="261"/>
      <c r="L31" s="167">
        <f>IF(ISERR(ROUND(L30/$S$9,2)),0,ROUND(L30/$S$9,2))</f>
        <v>24.01</v>
      </c>
      <c r="M31" s="167">
        <f>IF(ISERR(ROUND(M30/$S$10,2)),0,ROUND(M30/$S$10,2))</f>
        <v>24.01</v>
      </c>
      <c r="N31" s="167">
        <f>IF(ISERR(ROUND(N30/$S$11,2)),0,ROUND(N30/$S$11,2))</f>
        <v>30.08</v>
      </c>
      <c r="O31" s="167">
        <f>IF(ISERR(ROUND(O30/$S$12,2)),0,ROUND(O30/$S$12,2))</f>
        <v>0</v>
      </c>
      <c r="P31" s="168" t="s">
        <v>22</v>
      </c>
      <c r="Q31" s="169"/>
      <c r="R31" s="136"/>
      <c r="S31" s="110"/>
      <c r="T31" s="110"/>
    </row>
    <row r="32" spans="1:37">
      <c r="A32" s="170"/>
      <c r="B32" s="171"/>
      <c r="C32" s="171"/>
      <c r="D32" s="171"/>
      <c r="E32" s="171"/>
      <c r="F32" s="170"/>
      <c r="G32" s="169"/>
      <c r="H32" s="169"/>
      <c r="I32" s="169"/>
      <c r="J32" s="169"/>
      <c r="K32" s="169"/>
      <c r="L32" s="169"/>
      <c r="M32" s="169"/>
      <c r="N32" s="169"/>
      <c r="O32" s="169"/>
      <c r="P32" s="169"/>
      <c r="Q32" s="169"/>
      <c r="R32" s="136"/>
      <c r="T32" s="110"/>
    </row>
    <row r="33" spans="1:37">
      <c r="A33" s="170"/>
      <c r="B33" s="171"/>
      <c r="C33" s="171"/>
      <c r="D33" s="171"/>
      <c r="E33" s="171"/>
      <c r="F33" s="170"/>
      <c r="G33" s="169"/>
      <c r="H33" s="169"/>
      <c r="I33" s="169"/>
      <c r="J33" s="169"/>
      <c r="K33" s="169"/>
      <c r="L33" s="169"/>
      <c r="M33" s="169"/>
      <c r="N33" s="169"/>
      <c r="O33" s="169"/>
      <c r="P33" s="169"/>
      <c r="Q33" s="169"/>
      <c r="R33" s="136"/>
      <c r="T33" s="110"/>
    </row>
    <row r="34" spans="1:37">
      <c r="A34" s="170"/>
      <c r="B34" s="171"/>
      <c r="C34" s="171"/>
      <c r="D34" s="171"/>
      <c r="E34" s="171"/>
      <c r="F34" s="170"/>
      <c r="G34" s="169"/>
      <c r="H34" s="169"/>
      <c r="I34" s="169"/>
      <c r="J34" s="169"/>
      <c r="K34" s="169"/>
      <c r="L34" s="153"/>
      <c r="M34" s="153"/>
      <c r="N34" s="153"/>
      <c r="O34" s="153"/>
      <c r="P34" s="153"/>
      <c r="Q34" s="153"/>
      <c r="R34" s="136"/>
      <c r="T34" s="110"/>
    </row>
    <row r="35" spans="1:37">
      <c r="A35" s="148" t="str">
        <f>D9</f>
        <v>Materiais e EPIs/EPCs (sob demanda)</v>
      </c>
      <c r="R35" s="136"/>
      <c r="T35" s="110"/>
    </row>
    <row r="36" spans="1:37">
      <c r="R36" s="136"/>
      <c r="T36" s="110"/>
    </row>
    <row r="37" spans="1:37">
      <c r="G37" s="266" t="str">
        <f>G14</f>
        <v>Qtde. anual por tipo de posto</v>
      </c>
      <c r="H37" s="267"/>
      <c r="I37" s="267"/>
      <c r="J37" s="267"/>
      <c r="K37" s="268"/>
      <c r="L37" s="262" t="str">
        <f>L14</f>
        <v>Custo anual por tipo de posto (R$)</v>
      </c>
      <c r="M37" s="263"/>
      <c r="N37" s="263"/>
      <c r="O37" s="263"/>
      <c r="P37" s="264"/>
      <c r="Q37" s="140"/>
      <c r="R37" s="136"/>
      <c r="T37" s="110"/>
    </row>
    <row r="38" spans="1:37" ht="38.25">
      <c r="A38" s="149" t="s">
        <v>2</v>
      </c>
      <c r="B38" s="151" t="s">
        <v>205</v>
      </c>
      <c r="C38" s="149" t="s">
        <v>206</v>
      </c>
      <c r="D38" s="149" t="s">
        <v>207</v>
      </c>
      <c r="E38" s="149" t="s">
        <v>208</v>
      </c>
      <c r="F38" s="151" t="s">
        <v>209</v>
      </c>
      <c r="G38" s="149" t="s">
        <v>210</v>
      </c>
      <c r="H38" s="149" t="s">
        <v>211</v>
      </c>
      <c r="I38" s="149" t="s">
        <v>200</v>
      </c>
      <c r="J38" s="149" t="s">
        <v>202</v>
      </c>
      <c r="K38" s="149" t="s">
        <v>201</v>
      </c>
      <c r="L38" s="152" t="str">
        <f>$G$23</f>
        <v>Serv. limpeza</v>
      </c>
      <c r="M38" s="152" t="str">
        <f>$H$23</f>
        <v>Serv. limpeza insalub.</v>
      </c>
      <c r="N38" s="152" t="str">
        <f>$I$23</f>
        <v>Encarregado</v>
      </c>
      <c r="O38" s="152" t="str">
        <f>$J$23</f>
        <v>Supervisor</v>
      </c>
      <c r="P38" s="152" t="str">
        <f>$K$23</f>
        <v>Total</v>
      </c>
      <c r="Q38" s="153"/>
      <c r="R38" s="136"/>
      <c r="S38" s="154" t="str">
        <f>S$15</f>
        <v>Grupo de insumos</v>
      </c>
      <c r="T38" s="110"/>
      <c r="AB38" s="138"/>
      <c r="AC38" s="138"/>
      <c r="AD38" s="138"/>
      <c r="AE38" s="138"/>
      <c r="AF38" s="138"/>
      <c r="AG38" s="138"/>
      <c r="AH38" s="138"/>
      <c r="AI38" s="138"/>
      <c r="AJ38" s="138"/>
      <c r="AK38" s="138"/>
    </row>
    <row r="39" spans="1:37" ht="76.5">
      <c r="A39" s="187">
        <v>1</v>
      </c>
      <c r="B39" s="188" t="s">
        <v>183</v>
      </c>
      <c r="C39" s="187" t="s">
        <v>222</v>
      </c>
      <c r="D39" s="189" t="s">
        <v>223</v>
      </c>
      <c r="E39" s="187" t="s">
        <v>224</v>
      </c>
      <c r="F39" s="190">
        <v>10.41</v>
      </c>
      <c r="G39" s="187">
        <v>40</v>
      </c>
      <c r="H39" s="187">
        <v>0</v>
      </c>
      <c r="I39" s="187">
        <v>0</v>
      </c>
      <c r="J39" s="187">
        <v>0</v>
      </c>
      <c r="K39" s="156">
        <f t="shared" ref="K39:K61" si="10">SUM(G39:J39)</f>
        <v>40</v>
      </c>
      <c r="L39" s="160">
        <f t="shared" ref="L39:O61" si="11">$F39*G39</f>
        <v>416.4</v>
      </c>
      <c r="M39" s="160">
        <f t="shared" ref="M39" si="12">$F39*H39</f>
        <v>0</v>
      </c>
      <c r="N39" s="160">
        <f t="shared" ref="N39" si="13">$F39*I39</f>
        <v>0</v>
      </c>
      <c r="O39" s="160">
        <f t="shared" ref="O39" si="14">$F39*J39</f>
        <v>0</v>
      </c>
      <c r="P39" s="160">
        <f t="shared" ref="P39:P61" si="15">SUM(L39:O39)</f>
        <v>416.4</v>
      </c>
      <c r="Q39" s="153"/>
      <c r="R39" s="136"/>
      <c r="S39" s="154"/>
      <c r="T39" s="110"/>
      <c r="AB39" s="138"/>
      <c r="AC39" s="138"/>
      <c r="AD39" s="138"/>
      <c r="AE39" s="138"/>
      <c r="AF39" s="138"/>
      <c r="AG39" s="138"/>
      <c r="AH39" s="138"/>
      <c r="AI39" s="138"/>
      <c r="AJ39" s="138"/>
      <c r="AK39" s="138"/>
    </row>
    <row r="40" spans="1:37" ht="38.25">
      <c r="A40" s="155">
        <v>2</v>
      </c>
      <c r="B40" s="172" t="s">
        <v>183</v>
      </c>
      <c r="C40" s="173" t="s">
        <v>225</v>
      </c>
      <c r="D40" s="174" t="s">
        <v>228</v>
      </c>
      <c r="E40" s="156" t="s">
        <v>224</v>
      </c>
      <c r="F40" s="159">
        <v>9.4700000000000006</v>
      </c>
      <c r="G40" s="156">
        <v>240</v>
      </c>
      <c r="H40" s="156">
        <v>0</v>
      </c>
      <c r="I40" s="156">
        <v>0</v>
      </c>
      <c r="J40" s="156">
        <v>0</v>
      </c>
      <c r="K40" s="156">
        <f t="shared" si="10"/>
        <v>240</v>
      </c>
      <c r="L40" s="160">
        <f t="shared" si="11"/>
        <v>2272.8000000000002</v>
      </c>
      <c r="M40" s="160">
        <f t="shared" ref="M40:O46" si="16">$F40*H40</f>
        <v>0</v>
      </c>
      <c r="N40" s="160">
        <f t="shared" si="16"/>
        <v>0</v>
      </c>
      <c r="O40" s="160">
        <f t="shared" si="16"/>
        <v>0</v>
      </c>
      <c r="P40" s="160">
        <f t="shared" si="15"/>
        <v>2272.8000000000002</v>
      </c>
      <c r="Q40" s="161"/>
      <c r="R40" s="136"/>
      <c r="S40" s="108" t="str">
        <f t="shared" ref="S40:S61" si="17">$D$9</f>
        <v>Materiais e EPIs/EPCs (sob demanda)</v>
      </c>
      <c r="T40" s="110"/>
    </row>
    <row r="41" spans="1:37" ht="51">
      <c r="A41" s="155">
        <v>3</v>
      </c>
      <c r="B41" s="172" t="s">
        <v>183</v>
      </c>
      <c r="C41" s="173" t="s">
        <v>227</v>
      </c>
      <c r="D41" s="174" t="s">
        <v>230</v>
      </c>
      <c r="E41" s="156" t="s">
        <v>231</v>
      </c>
      <c r="F41" s="159">
        <v>34.71</v>
      </c>
      <c r="G41" s="156">
        <v>72</v>
      </c>
      <c r="H41" s="156">
        <v>0</v>
      </c>
      <c r="I41" s="156">
        <v>0</v>
      </c>
      <c r="J41" s="156">
        <v>0</v>
      </c>
      <c r="K41" s="156">
        <f t="shared" si="10"/>
        <v>72</v>
      </c>
      <c r="L41" s="160">
        <f t="shared" si="11"/>
        <v>2499.12</v>
      </c>
      <c r="M41" s="160">
        <f t="shared" si="16"/>
        <v>0</v>
      </c>
      <c r="N41" s="160">
        <f t="shared" si="16"/>
        <v>0</v>
      </c>
      <c r="O41" s="160">
        <f t="shared" si="16"/>
        <v>0</v>
      </c>
      <c r="P41" s="160">
        <f t="shared" si="15"/>
        <v>2499.12</v>
      </c>
      <c r="Q41" s="161"/>
      <c r="R41" s="136"/>
      <c r="S41" s="108" t="str">
        <f t="shared" si="17"/>
        <v>Materiais e EPIs/EPCs (sob demanda)</v>
      </c>
      <c r="T41" s="110"/>
    </row>
    <row r="42" spans="1:37" ht="51">
      <c r="A42" s="155">
        <v>4</v>
      </c>
      <c r="B42" s="172" t="s">
        <v>183</v>
      </c>
      <c r="C42" s="173" t="s">
        <v>229</v>
      </c>
      <c r="D42" s="174" t="s">
        <v>238</v>
      </c>
      <c r="E42" s="156" t="s">
        <v>216</v>
      </c>
      <c r="F42" s="159">
        <v>29.91</v>
      </c>
      <c r="G42" s="156">
        <v>40</v>
      </c>
      <c r="H42" s="156">
        <v>0</v>
      </c>
      <c r="I42" s="156">
        <v>0</v>
      </c>
      <c r="J42" s="156">
        <v>0</v>
      </c>
      <c r="K42" s="156">
        <f t="shared" si="10"/>
        <v>40</v>
      </c>
      <c r="L42" s="160">
        <f t="shared" si="11"/>
        <v>1196.4000000000001</v>
      </c>
      <c r="M42" s="160">
        <f t="shared" si="16"/>
        <v>0</v>
      </c>
      <c r="N42" s="160">
        <f t="shared" si="16"/>
        <v>0</v>
      </c>
      <c r="O42" s="160">
        <f t="shared" si="16"/>
        <v>0</v>
      </c>
      <c r="P42" s="160">
        <f t="shared" si="15"/>
        <v>1196.4000000000001</v>
      </c>
      <c r="Q42" s="161"/>
      <c r="R42" s="136"/>
      <c r="S42" s="108" t="str">
        <f t="shared" si="17"/>
        <v>Materiais e EPIs/EPCs (sob demanda)</v>
      </c>
      <c r="T42" s="110"/>
    </row>
    <row r="43" spans="1:37" ht="38.25">
      <c r="A43" s="155">
        <v>5</v>
      </c>
      <c r="B43" s="172" t="s">
        <v>183</v>
      </c>
      <c r="C43" s="173" t="s">
        <v>232</v>
      </c>
      <c r="D43" s="174" t="s">
        <v>238</v>
      </c>
      <c r="E43" s="156" t="s">
        <v>216</v>
      </c>
      <c r="F43" s="159">
        <v>16.38</v>
      </c>
      <c r="G43" s="156">
        <v>40</v>
      </c>
      <c r="H43" s="156">
        <v>0</v>
      </c>
      <c r="I43" s="156">
        <v>0</v>
      </c>
      <c r="J43" s="156">
        <v>0</v>
      </c>
      <c r="K43" s="156">
        <f t="shared" si="10"/>
        <v>40</v>
      </c>
      <c r="L43" s="160">
        <f t="shared" si="11"/>
        <v>655.19999999999993</v>
      </c>
      <c r="M43" s="160">
        <f t="shared" si="16"/>
        <v>0</v>
      </c>
      <c r="N43" s="160">
        <f t="shared" si="16"/>
        <v>0</v>
      </c>
      <c r="O43" s="160">
        <f t="shared" si="16"/>
        <v>0</v>
      </c>
      <c r="P43" s="160">
        <f t="shared" si="15"/>
        <v>655.19999999999993</v>
      </c>
      <c r="Q43" s="161"/>
      <c r="R43" s="136"/>
      <c r="S43" s="108" t="str">
        <f t="shared" si="17"/>
        <v>Materiais e EPIs/EPCs (sob demanda)</v>
      </c>
      <c r="T43" s="110"/>
    </row>
    <row r="44" spans="1:37" ht="38.25">
      <c r="A44" s="155">
        <v>6</v>
      </c>
      <c r="B44" s="172" t="s">
        <v>183</v>
      </c>
      <c r="C44" s="173" t="s">
        <v>233</v>
      </c>
      <c r="D44" s="174" t="s">
        <v>241</v>
      </c>
      <c r="E44" s="156" t="s">
        <v>216</v>
      </c>
      <c r="F44" s="159">
        <v>213.95</v>
      </c>
      <c r="G44" s="156">
        <v>16</v>
      </c>
      <c r="H44" s="156">
        <v>0</v>
      </c>
      <c r="I44" s="156">
        <v>0</v>
      </c>
      <c r="J44" s="156">
        <v>0</v>
      </c>
      <c r="K44" s="156">
        <f t="shared" si="10"/>
        <v>16</v>
      </c>
      <c r="L44" s="160">
        <f t="shared" si="11"/>
        <v>3423.2</v>
      </c>
      <c r="M44" s="160">
        <f t="shared" si="16"/>
        <v>0</v>
      </c>
      <c r="N44" s="160">
        <f t="shared" si="16"/>
        <v>0</v>
      </c>
      <c r="O44" s="160">
        <f t="shared" si="16"/>
        <v>0</v>
      </c>
      <c r="P44" s="160">
        <f t="shared" si="15"/>
        <v>3423.2</v>
      </c>
      <c r="Q44" s="161"/>
      <c r="R44" s="136"/>
      <c r="S44" s="108" t="str">
        <f t="shared" si="17"/>
        <v>Materiais e EPIs/EPCs (sob demanda)</v>
      </c>
      <c r="T44" s="110"/>
    </row>
    <row r="45" spans="1:37" ht="38.25">
      <c r="A45" s="155">
        <v>7</v>
      </c>
      <c r="B45" s="172" t="s">
        <v>183</v>
      </c>
      <c r="C45" s="173" t="s">
        <v>234</v>
      </c>
      <c r="D45" s="174" t="s">
        <v>245</v>
      </c>
      <c r="E45" s="156" t="s">
        <v>216</v>
      </c>
      <c r="F45" s="159">
        <v>22</v>
      </c>
      <c r="G45" s="156">
        <v>8</v>
      </c>
      <c r="H45" s="156">
        <v>0</v>
      </c>
      <c r="I45" s="156">
        <v>0</v>
      </c>
      <c r="J45" s="156">
        <v>0</v>
      </c>
      <c r="K45" s="156">
        <f t="shared" si="10"/>
        <v>8</v>
      </c>
      <c r="L45" s="160">
        <f t="shared" si="11"/>
        <v>176</v>
      </c>
      <c r="M45" s="160">
        <f t="shared" si="16"/>
        <v>0</v>
      </c>
      <c r="N45" s="160">
        <f t="shared" si="16"/>
        <v>0</v>
      </c>
      <c r="O45" s="160">
        <f t="shared" si="16"/>
        <v>0</v>
      </c>
      <c r="P45" s="160">
        <f t="shared" si="15"/>
        <v>176</v>
      </c>
      <c r="Q45" s="161"/>
      <c r="R45" s="136"/>
      <c r="S45" s="108" t="str">
        <f t="shared" si="17"/>
        <v>Materiais e EPIs/EPCs (sob demanda)</v>
      </c>
      <c r="T45" s="110"/>
    </row>
    <row r="46" spans="1:37" ht="38.25">
      <c r="A46" s="155">
        <v>8</v>
      </c>
      <c r="B46" s="172" t="s">
        <v>183</v>
      </c>
      <c r="C46" s="173" t="s">
        <v>236</v>
      </c>
      <c r="D46" s="174" t="s">
        <v>250</v>
      </c>
      <c r="E46" s="156" t="s">
        <v>251</v>
      </c>
      <c r="F46" s="159">
        <v>17.239999999999998</v>
      </c>
      <c r="G46" s="156">
        <v>10</v>
      </c>
      <c r="H46" s="156">
        <v>0</v>
      </c>
      <c r="I46" s="156">
        <v>0</v>
      </c>
      <c r="J46" s="156">
        <v>0</v>
      </c>
      <c r="K46" s="156">
        <f t="shared" si="10"/>
        <v>10</v>
      </c>
      <c r="L46" s="160">
        <f t="shared" si="11"/>
        <v>172.39999999999998</v>
      </c>
      <c r="M46" s="160">
        <f t="shared" si="16"/>
        <v>0</v>
      </c>
      <c r="N46" s="160">
        <f t="shared" si="16"/>
        <v>0</v>
      </c>
      <c r="O46" s="160">
        <f t="shared" si="16"/>
        <v>0</v>
      </c>
      <c r="P46" s="160">
        <f t="shared" si="15"/>
        <v>172.39999999999998</v>
      </c>
      <c r="Q46" s="161"/>
      <c r="R46" s="136"/>
      <c r="S46" s="108" t="str">
        <f t="shared" si="17"/>
        <v>Materiais e EPIs/EPCs (sob demanda)</v>
      </c>
      <c r="T46" s="110"/>
    </row>
    <row r="47" spans="1:37" ht="38.25">
      <c r="A47" s="155">
        <v>9</v>
      </c>
      <c r="B47" s="172" t="s">
        <v>183</v>
      </c>
      <c r="C47" s="173" t="s">
        <v>237</v>
      </c>
      <c r="D47" s="174" t="s">
        <v>253</v>
      </c>
      <c r="E47" s="156" t="s">
        <v>231</v>
      </c>
      <c r="F47" s="159">
        <v>54.5</v>
      </c>
      <c r="G47" s="156">
        <v>8</v>
      </c>
      <c r="H47" s="156">
        <v>0</v>
      </c>
      <c r="I47" s="156">
        <v>0</v>
      </c>
      <c r="J47" s="156">
        <v>0</v>
      </c>
      <c r="K47" s="156">
        <f t="shared" si="10"/>
        <v>8</v>
      </c>
      <c r="L47" s="160">
        <f t="shared" si="11"/>
        <v>436</v>
      </c>
      <c r="M47" s="160">
        <f t="shared" si="11"/>
        <v>0</v>
      </c>
      <c r="N47" s="160">
        <f t="shared" si="11"/>
        <v>0</v>
      </c>
      <c r="O47" s="160">
        <f t="shared" si="11"/>
        <v>0</v>
      </c>
      <c r="P47" s="160">
        <f t="shared" si="15"/>
        <v>436</v>
      </c>
      <c r="Q47" s="161"/>
      <c r="R47" s="136"/>
      <c r="S47" s="108" t="str">
        <f t="shared" si="17"/>
        <v>Materiais e EPIs/EPCs (sob demanda)</v>
      </c>
      <c r="T47" s="110"/>
    </row>
    <row r="48" spans="1:37" ht="38.25">
      <c r="A48" s="155">
        <v>10</v>
      </c>
      <c r="B48" s="172" t="s">
        <v>183</v>
      </c>
      <c r="C48" s="173" t="s">
        <v>239</v>
      </c>
      <c r="D48" s="174" t="s">
        <v>257</v>
      </c>
      <c r="E48" s="156" t="s">
        <v>216</v>
      </c>
      <c r="F48" s="159">
        <v>75.31</v>
      </c>
      <c r="G48" s="156">
        <v>20</v>
      </c>
      <c r="H48" s="156">
        <v>0</v>
      </c>
      <c r="I48" s="156">
        <v>0</v>
      </c>
      <c r="J48" s="156">
        <v>0</v>
      </c>
      <c r="K48" s="156">
        <f t="shared" si="10"/>
        <v>20</v>
      </c>
      <c r="L48" s="160">
        <f t="shared" si="11"/>
        <v>1506.2</v>
      </c>
      <c r="M48" s="160">
        <f t="shared" si="11"/>
        <v>0</v>
      </c>
      <c r="N48" s="160">
        <f t="shared" si="11"/>
        <v>0</v>
      </c>
      <c r="O48" s="160">
        <f t="shared" si="11"/>
        <v>0</v>
      </c>
      <c r="P48" s="160">
        <f t="shared" si="15"/>
        <v>1506.2</v>
      </c>
      <c r="Q48" s="161"/>
      <c r="R48" s="136"/>
      <c r="S48" s="108" t="str">
        <f t="shared" si="17"/>
        <v>Materiais e EPIs/EPCs (sob demanda)</v>
      </c>
      <c r="T48" s="110"/>
    </row>
    <row r="49" spans="1:20" ht="38.25">
      <c r="A49" s="155">
        <v>11</v>
      </c>
      <c r="B49" s="172" t="s">
        <v>183</v>
      </c>
      <c r="C49" s="173" t="s">
        <v>240</v>
      </c>
      <c r="D49" s="174" t="s">
        <v>22</v>
      </c>
      <c r="E49" s="156" t="s">
        <v>216</v>
      </c>
      <c r="F49" s="159">
        <v>6.48</v>
      </c>
      <c r="G49" s="156">
        <v>120</v>
      </c>
      <c r="H49" s="156">
        <v>0</v>
      </c>
      <c r="I49" s="156">
        <v>0</v>
      </c>
      <c r="J49" s="156">
        <v>0</v>
      </c>
      <c r="K49" s="156">
        <f t="shared" si="10"/>
        <v>120</v>
      </c>
      <c r="L49" s="160">
        <f t="shared" si="11"/>
        <v>777.6</v>
      </c>
      <c r="M49" s="160">
        <f t="shared" si="11"/>
        <v>0</v>
      </c>
      <c r="N49" s="160">
        <f t="shared" si="11"/>
        <v>0</v>
      </c>
      <c r="O49" s="160">
        <f t="shared" si="11"/>
        <v>0</v>
      </c>
      <c r="P49" s="160">
        <f t="shared" si="15"/>
        <v>777.6</v>
      </c>
      <c r="Q49" s="161"/>
      <c r="R49" s="136"/>
      <c r="S49" s="108" t="str">
        <f t="shared" si="17"/>
        <v>Materiais e EPIs/EPCs (sob demanda)</v>
      </c>
      <c r="T49" s="110"/>
    </row>
    <row r="50" spans="1:20" ht="38.25">
      <c r="A50" s="155">
        <v>12</v>
      </c>
      <c r="B50" s="172" t="s">
        <v>183</v>
      </c>
      <c r="C50" s="173" t="s">
        <v>242</v>
      </c>
      <c r="D50" s="174" t="s">
        <v>269</v>
      </c>
      <c r="E50" s="156" t="s">
        <v>216</v>
      </c>
      <c r="F50" s="159">
        <v>10.64</v>
      </c>
      <c r="G50" s="156">
        <v>10</v>
      </c>
      <c r="H50" s="156">
        <v>0</v>
      </c>
      <c r="I50" s="156">
        <v>0</v>
      </c>
      <c r="J50" s="156">
        <v>0</v>
      </c>
      <c r="K50" s="156">
        <f t="shared" si="10"/>
        <v>10</v>
      </c>
      <c r="L50" s="160">
        <f t="shared" si="11"/>
        <v>106.4</v>
      </c>
      <c r="M50" s="160">
        <f t="shared" si="11"/>
        <v>0</v>
      </c>
      <c r="N50" s="160">
        <f t="shared" si="11"/>
        <v>0</v>
      </c>
      <c r="O50" s="160">
        <f t="shared" si="11"/>
        <v>0</v>
      </c>
      <c r="P50" s="160">
        <f t="shared" si="15"/>
        <v>106.4</v>
      </c>
      <c r="Q50" s="161"/>
      <c r="R50" s="136"/>
      <c r="S50" s="108" t="str">
        <f t="shared" si="17"/>
        <v>Materiais e EPIs/EPCs (sob demanda)</v>
      </c>
      <c r="T50" s="110"/>
    </row>
    <row r="51" spans="1:20" ht="38.25">
      <c r="A51" s="155">
        <v>13</v>
      </c>
      <c r="B51" s="172" t="s">
        <v>183</v>
      </c>
      <c r="C51" s="173" t="s">
        <v>244</v>
      </c>
      <c r="D51" s="174" t="s">
        <v>271</v>
      </c>
      <c r="E51" s="156" t="s">
        <v>216</v>
      </c>
      <c r="F51" s="159">
        <v>7.53</v>
      </c>
      <c r="G51" s="156">
        <v>20</v>
      </c>
      <c r="H51" s="156">
        <v>0</v>
      </c>
      <c r="I51" s="156">
        <v>0</v>
      </c>
      <c r="J51" s="156">
        <v>0</v>
      </c>
      <c r="K51" s="156">
        <f t="shared" si="10"/>
        <v>20</v>
      </c>
      <c r="L51" s="160">
        <f t="shared" si="11"/>
        <v>150.6</v>
      </c>
      <c r="M51" s="160">
        <f t="shared" si="11"/>
        <v>0</v>
      </c>
      <c r="N51" s="160">
        <f t="shared" si="11"/>
        <v>0</v>
      </c>
      <c r="O51" s="160">
        <f t="shared" si="11"/>
        <v>0</v>
      </c>
      <c r="P51" s="160">
        <f t="shared" si="15"/>
        <v>150.6</v>
      </c>
      <c r="Q51" s="161"/>
      <c r="R51" s="136"/>
      <c r="S51" s="108" t="str">
        <f t="shared" si="17"/>
        <v>Materiais e EPIs/EPCs (sob demanda)</v>
      </c>
      <c r="T51" s="110"/>
    </row>
    <row r="52" spans="1:20" ht="178.5">
      <c r="A52" s="155">
        <v>14</v>
      </c>
      <c r="B52" s="172" t="s">
        <v>183</v>
      </c>
      <c r="C52" s="173" t="s">
        <v>246</v>
      </c>
      <c r="D52" s="174" t="s">
        <v>22</v>
      </c>
      <c r="E52" s="156" t="s">
        <v>472</v>
      </c>
      <c r="F52" s="159">
        <v>17.350000000000001</v>
      </c>
      <c r="G52" s="156">
        <v>144</v>
      </c>
      <c r="H52" s="156">
        <v>0</v>
      </c>
      <c r="I52" s="156">
        <v>0</v>
      </c>
      <c r="J52" s="156">
        <v>0</v>
      </c>
      <c r="K52" s="156">
        <f t="shared" si="10"/>
        <v>144</v>
      </c>
      <c r="L52" s="160">
        <f t="shared" si="11"/>
        <v>2498.4</v>
      </c>
      <c r="M52" s="160">
        <f t="shared" si="11"/>
        <v>0</v>
      </c>
      <c r="N52" s="160">
        <f t="shared" si="11"/>
        <v>0</v>
      </c>
      <c r="O52" s="160">
        <f t="shared" si="11"/>
        <v>0</v>
      </c>
      <c r="P52" s="160">
        <f t="shared" si="15"/>
        <v>2498.4</v>
      </c>
      <c r="Q52" s="161"/>
      <c r="R52" s="136"/>
      <c r="S52" s="108" t="str">
        <f t="shared" si="17"/>
        <v>Materiais e EPIs/EPCs (sob demanda)</v>
      </c>
      <c r="T52" s="110"/>
    </row>
    <row r="53" spans="1:20" ht="63.75">
      <c r="A53" s="155">
        <v>15</v>
      </c>
      <c r="B53" s="172" t="s">
        <v>183</v>
      </c>
      <c r="C53" s="173" t="s">
        <v>248</v>
      </c>
      <c r="D53" s="174" t="s">
        <v>277</v>
      </c>
      <c r="E53" s="156" t="s">
        <v>216</v>
      </c>
      <c r="F53" s="159">
        <v>23.86</v>
      </c>
      <c r="G53" s="156">
        <v>144</v>
      </c>
      <c r="H53" s="156">
        <v>0</v>
      </c>
      <c r="I53" s="156">
        <v>0</v>
      </c>
      <c r="J53" s="156">
        <v>0</v>
      </c>
      <c r="K53" s="156">
        <f t="shared" si="10"/>
        <v>144</v>
      </c>
      <c r="L53" s="160">
        <f t="shared" si="11"/>
        <v>3435.84</v>
      </c>
      <c r="M53" s="160">
        <f t="shared" si="11"/>
        <v>0</v>
      </c>
      <c r="N53" s="160">
        <f t="shared" si="11"/>
        <v>0</v>
      </c>
      <c r="O53" s="160">
        <f t="shared" si="11"/>
        <v>0</v>
      </c>
      <c r="P53" s="160">
        <f t="shared" si="15"/>
        <v>3435.84</v>
      </c>
      <c r="Q53" s="161"/>
      <c r="R53" s="136"/>
      <c r="S53" s="108" t="str">
        <f t="shared" si="17"/>
        <v>Materiais e EPIs/EPCs (sob demanda)</v>
      </c>
      <c r="T53" s="110"/>
    </row>
    <row r="54" spans="1:20" ht="38.25">
      <c r="A54" s="155">
        <v>16</v>
      </c>
      <c r="B54" s="172" t="s">
        <v>183</v>
      </c>
      <c r="C54" s="173" t="s">
        <v>249</v>
      </c>
      <c r="D54" s="174" t="s">
        <v>282</v>
      </c>
      <c r="E54" s="156" t="s">
        <v>216</v>
      </c>
      <c r="F54" s="159">
        <v>2.17</v>
      </c>
      <c r="G54" s="156">
        <v>360</v>
      </c>
      <c r="H54" s="156">
        <v>0</v>
      </c>
      <c r="I54" s="156">
        <v>0</v>
      </c>
      <c r="J54" s="156">
        <v>0</v>
      </c>
      <c r="K54" s="156">
        <f t="shared" si="10"/>
        <v>360</v>
      </c>
      <c r="L54" s="160">
        <f t="shared" si="11"/>
        <v>781.19999999999993</v>
      </c>
      <c r="M54" s="160">
        <f t="shared" si="11"/>
        <v>0</v>
      </c>
      <c r="N54" s="160">
        <f t="shared" si="11"/>
        <v>0</v>
      </c>
      <c r="O54" s="160">
        <f t="shared" si="11"/>
        <v>0</v>
      </c>
      <c r="P54" s="160">
        <f t="shared" si="15"/>
        <v>781.19999999999993</v>
      </c>
      <c r="Q54" s="161"/>
      <c r="R54" s="136"/>
      <c r="S54" s="108" t="str">
        <f t="shared" si="17"/>
        <v>Materiais e EPIs/EPCs (sob demanda)</v>
      </c>
      <c r="T54" s="110"/>
    </row>
    <row r="55" spans="1:20" ht="51">
      <c r="A55" s="155">
        <v>17</v>
      </c>
      <c r="B55" s="172" t="s">
        <v>183</v>
      </c>
      <c r="C55" s="191" t="s">
        <v>252</v>
      </c>
      <c r="D55" s="174" t="s">
        <v>286</v>
      </c>
      <c r="E55" s="156" t="s">
        <v>216</v>
      </c>
      <c r="F55" s="159">
        <v>24.64</v>
      </c>
      <c r="G55" s="156">
        <v>40</v>
      </c>
      <c r="H55" s="156">
        <v>0</v>
      </c>
      <c r="I55" s="156">
        <v>0</v>
      </c>
      <c r="J55" s="156">
        <v>0</v>
      </c>
      <c r="K55" s="156">
        <f t="shared" si="10"/>
        <v>40</v>
      </c>
      <c r="L55" s="160">
        <f t="shared" si="11"/>
        <v>985.6</v>
      </c>
      <c r="M55" s="160">
        <f t="shared" si="11"/>
        <v>0</v>
      </c>
      <c r="N55" s="160">
        <f t="shared" si="11"/>
        <v>0</v>
      </c>
      <c r="O55" s="160">
        <f t="shared" si="11"/>
        <v>0</v>
      </c>
      <c r="P55" s="160">
        <f t="shared" si="15"/>
        <v>985.6</v>
      </c>
      <c r="Q55" s="161"/>
      <c r="R55" s="136"/>
      <c r="S55" s="108" t="str">
        <f t="shared" si="17"/>
        <v>Materiais e EPIs/EPCs (sob demanda)</v>
      </c>
      <c r="T55" s="110"/>
    </row>
    <row r="56" spans="1:20" ht="38.25">
      <c r="A56" s="155">
        <v>18</v>
      </c>
      <c r="B56" s="172" t="s">
        <v>183</v>
      </c>
      <c r="C56" s="173" t="s">
        <v>254</v>
      </c>
      <c r="D56" s="174" t="s">
        <v>291</v>
      </c>
      <c r="E56" s="156" t="s">
        <v>216</v>
      </c>
      <c r="F56" s="159">
        <v>4.3899999999999997</v>
      </c>
      <c r="G56" s="156">
        <v>40</v>
      </c>
      <c r="H56" s="156">
        <v>0</v>
      </c>
      <c r="I56" s="156">
        <v>0</v>
      </c>
      <c r="J56" s="156">
        <v>0</v>
      </c>
      <c r="K56" s="156">
        <f t="shared" si="10"/>
        <v>40</v>
      </c>
      <c r="L56" s="160">
        <f t="shared" si="11"/>
        <v>175.6</v>
      </c>
      <c r="M56" s="160">
        <f t="shared" si="11"/>
        <v>0</v>
      </c>
      <c r="N56" s="160">
        <f t="shared" si="11"/>
        <v>0</v>
      </c>
      <c r="O56" s="160">
        <f t="shared" si="11"/>
        <v>0</v>
      </c>
      <c r="P56" s="160">
        <f t="shared" si="15"/>
        <v>175.6</v>
      </c>
      <c r="Q56" s="161"/>
      <c r="R56" s="136"/>
      <c r="S56" s="108" t="str">
        <f t="shared" si="17"/>
        <v>Materiais e EPIs/EPCs (sob demanda)</v>
      </c>
      <c r="T56" s="110"/>
    </row>
    <row r="57" spans="1:20" ht="38.25">
      <c r="A57" s="155">
        <v>19</v>
      </c>
      <c r="B57" s="172" t="s">
        <v>183</v>
      </c>
      <c r="C57" s="173" t="s">
        <v>256</v>
      </c>
      <c r="D57" s="174" t="s">
        <v>299</v>
      </c>
      <c r="E57" s="156" t="s">
        <v>216</v>
      </c>
      <c r="F57" s="159">
        <v>4.32</v>
      </c>
      <c r="G57" s="156">
        <v>20</v>
      </c>
      <c r="H57" s="156">
        <v>0</v>
      </c>
      <c r="I57" s="156">
        <v>0</v>
      </c>
      <c r="J57" s="156">
        <v>0</v>
      </c>
      <c r="K57" s="156">
        <f t="shared" si="10"/>
        <v>20</v>
      </c>
      <c r="L57" s="160">
        <f t="shared" si="11"/>
        <v>86.4</v>
      </c>
      <c r="M57" s="160">
        <f t="shared" si="11"/>
        <v>0</v>
      </c>
      <c r="N57" s="160">
        <f t="shared" si="11"/>
        <v>0</v>
      </c>
      <c r="O57" s="160">
        <f t="shared" si="11"/>
        <v>0</v>
      </c>
      <c r="P57" s="160">
        <f t="shared" si="15"/>
        <v>86.4</v>
      </c>
      <c r="Q57" s="161"/>
      <c r="R57" s="136"/>
      <c r="S57" s="108" t="str">
        <f t="shared" si="17"/>
        <v>Materiais e EPIs/EPCs (sob demanda)</v>
      </c>
      <c r="T57" s="110"/>
    </row>
    <row r="58" spans="1:20" ht="38.25">
      <c r="A58" s="155">
        <v>20</v>
      </c>
      <c r="B58" s="172" t="s">
        <v>183</v>
      </c>
      <c r="C58" s="173" t="s">
        <v>258</v>
      </c>
      <c r="D58" s="174" t="s">
        <v>305</v>
      </c>
      <c r="E58" s="156" t="s">
        <v>216</v>
      </c>
      <c r="F58" s="159">
        <v>17.05</v>
      </c>
      <c r="G58" s="156">
        <v>120</v>
      </c>
      <c r="H58" s="156">
        <v>0</v>
      </c>
      <c r="I58" s="156">
        <v>0</v>
      </c>
      <c r="J58" s="156">
        <v>0</v>
      </c>
      <c r="K58" s="156">
        <f t="shared" si="10"/>
        <v>120</v>
      </c>
      <c r="L58" s="160">
        <f t="shared" si="11"/>
        <v>2046</v>
      </c>
      <c r="M58" s="160">
        <f t="shared" si="11"/>
        <v>0</v>
      </c>
      <c r="N58" s="160">
        <f t="shared" si="11"/>
        <v>0</v>
      </c>
      <c r="O58" s="160">
        <f t="shared" si="11"/>
        <v>0</v>
      </c>
      <c r="P58" s="160">
        <f t="shared" si="15"/>
        <v>2046</v>
      </c>
      <c r="Q58" s="161"/>
      <c r="R58" s="136"/>
      <c r="S58" s="108" t="str">
        <f t="shared" si="17"/>
        <v>Materiais e EPIs/EPCs (sob demanda)</v>
      </c>
      <c r="T58" s="110"/>
    </row>
    <row r="59" spans="1:20" ht="76.5">
      <c r="A59" s="155">
        <v>21</v>
      </c>
      <c r="B59" s="172" t="s">
        <v>183</v>
      </c>
      <c r="C59" s="173" t="s">
        <v>259</v>
      </c>
      <c r="D59" s="174" t="s">
        <v>309</v>
      </c>
      <c r="E59" s="156" t="s">
        <v>216</v>
      </c>
      <c r="F59" s="159">
        <v>18.86</v>
      </c>
      <c r="G59" s="156">
        <v>40</v>
      </c>
      <c r="H59" s="156">
        <v>0</v>
      </c>
      <c r="I59" s="156">
        <v>0</v>
      </c>
      <c r="J59" s="156">
        <v>0</v>
      </c>
      <c r="K59" s="156">
        <f t="shared" si="10"/>
        <v>40</v>
      </c>
      <c r="L59" s="160">
        <f t="shared" si="11"/>
        <v>754.4</v>
      </c>
      <c r="M59" s="160">
        <f t="shared" si="11"/>
        <v>0</v>
      </c>
      <c r="N59" s="160">
        <f t="shared" si="11"/>
        <v>0</v>
      </c>
      <c r="O59" s="160">
        <f t="shared" si="11"/>
        <v>0</v>
      </c>
      <c r="P59" s="160">
        <f t="shared" si="15"/>
        <v>754.4</v>
      </c>
      <c r="Q59" s="161"/>
      <c r="R59" s="136"/>
      <c r="S59" s="108" t="str">
        <f t="shared" si="17"/>
        <v>Materiais e EPIs/EPCs (sob demanda)</v>
      </c>
      <c r="T59" s="110"/>
    </row>
    <row r="60" spans="1:20" ht="51">
      <c r="A60" s="155">
        <v>22</v>
      </c>
      <c r="B60" s="172" t="s">
        <v>183</v>
      </c>
      <c r="C60" s="173" t="s">
        <v>261</v>
      </c>
      <c r="D60" s="174" t="s">
        <v>313</v>
      </c>
      <c r="E60" s="156" t="s">
        <v>314</v>
      </c>
      <c r="F60" s="159">
        <v>1.1299999999999999</v>
      </c>
      <c r="G60" s="156">
        <v>1080</v>
      </c>
      <c r="H60" s="156">
        <v>0</v>
      </c>
      <c r="I60" s="156">
        <v>0</v>
      </c>
      <c r="J60" s="156">
        <v>0</v>
      </c>
      <c r="K60" s="156">
        <f t="shared" si="10"/>
        <v>1080</v>
      </c>
      <c r="L60" s="160">
        <f t="shared" si="11"/>
        <v>1220.3999999999999</v>
      </c>
      <c r="M60" s="160">
        <f t="shared" si="11"/>
        <v>0</v>
      </c>
      <c r="N60" s="160">
        <f t="shared" si="11"/>
        <v>0</v>
      </c>
      <c r="O60" s="160">
        <f t="shared" si="11"/>
        <v>0</v>
      </c>
      <c r="P60" s="160">
        <f t="shared" si="15"/>
        <v>1220.3999999999999</v>
      </c>
      <c r="Q60" s="161"/>
      <c r="R60" s="136"/>
      <c r="S60" s="108" t="str">
        <f t="shared" si="17"/>
        <v>Materiais e EPIs/EPCs (sob demanda)</v>
      </c>
      <c r="T60" s="110"/>
    </row>
    <row r="61" spans="1:20" ht="38.25">
      <c r="A61" s="155">
        <v>23</v>
      </c>
      <c r="B61" s="172" t="s">
        <v>183</v>
      </c>
      <c r="C61" s="173" t="s">
        <v>262</v>
      </c>
      <c r="D61" s="174" t="s">
        <v>22</v>
      </c>
      <c r="E61" s="156" t="s">
        <v>216</v>
      </c>
      <c r="F61" s="159">
        <v>2.66</v>
      </c>
      <c r="G61" s="156">
        <v>240</v>
      </c>
      <c r="H61" s="156">
        <v>0</v>
      </c>
      <c r="I61" s="156">
        <v>0</v>
      </c>
      <c r="J61" s="156">
        <v>0</v>
      </c>
      <c r="K61" s="156">
        <f t="shared" si="10"/>
        <v>240</v>
      </c>
      <c r="L61" s="160">
        <f t="shared" si="11"/>
        <v>638.40000000000009</v>
      </c>
      <c r="M61" s="160">
        <f t="shared" si="11"/>
        <v>0</v>
      </c>
      <c r="N61" s="160">
        <f t="shared" si="11"/>
        <v>0</v>
      </c>
      <c r="O61" s="160">
        <f t="shared" si="11"/>
        <v>0</v>
      </c>
      <c r="P61" s="160">
        <f t="shared" si="15"/>
        <v>638.40000000000009</v>
      </c>
      <c r="Q61" s="161"/>
      <c r="R61" s="136"/>
      <c r="S61" s="108" t="str">
        <f t="shared" si="17"/>
        <v>Materiais e EPIs/EPCs (sob demanda)</v>
      </c>
      <c r="T61" s="110"/>
    </row>
    <row r="62" spans="1:20" ht="38.25">
      <c r="A62" s="155">
        <v>24</v>
      </c>
      <c r="B62" s="172" t="s">
        <v>183</v>
      </c>
      <c r="C62" s="173" t="s">
        <v>264</v>
      </c>
      <c r="D62" s="174" t="s">
        <v>22</v>
      </c>
      <c r="E62" s="156" t="s">
        <v>216</v>
      </c>
      <c r="F62" s="159">
        <v>13.97</v>
      </c>
      <c r="G62" s="156">
        <v>144</v>
      </c>
      <c r="H62" s="156">
        <v>0</v>
      </c>
      <c r="I62" s="156">
        <v>0</v>
      </c>
      <c r="J62" s="156">
        <v>0</v>
      </c>
      <c r="K62" s="156">
        <f t="shared" ref="K62:K87" si="18">SUM(G62:J62)</f>
        <v>144</v>
      </c>
      <c r="L62" s="160">
        <f t="shared" ref="L62:O87" si="19">$F62*G62</f>
        <v>2011.68</v>
      </c>
      <c r="M62" s="160">
        <f t="shared" si="19"/>
        <v>0</v>
      </c>
      <c r="N62" s="160">
        <f t="shared" si="19"/>
        <v>0</v>
      </c>
      <c r="O62" s="160">
        <f t="shared" si="19"/>
        <v>0</v>
      </c>
      <c r="P62" s="160">
        <f t="shared" ref="P62:P87" si="20">SUM(L62:O62)</f>
        <v>2011.68</v>
      </c>
      <c r="Q62" s="161"/>
      <c r="R62" s="136"/>
      <c r="S62" s="108" t="str">
        <f t="shared" ref="S62:S87" si="21">$D$9</f>
        <v>Materiais e EPIs/EPCs (sob demanda)</v>
      </c>
      <c r="T62" s="110"/>
    </row>
    <row r="63" spans="1:20" ht="38.25">
      <c r="A63" s="155">
        <v>25</v>
      </c>
      <c r="B63" s="172" t="s">
        <v>183</v>
      </c>
      <c r="C63" s="173" t="s">
        <v>266</v>
      </c>
      <c r="D63" s="174" t="s">
        <v>335</v>
      </c>
      <c r="E63" s="156" t="s">
        <v>216</v>
      </c>
      <c r="F63" s="159">
        <v>7.39</v>
      </c>
      <c r="G63" s="156">
        <v>144</v>
      </c>
      <c r="H63" s="156">
        <v>0</v>
      </c>
      <c r="I63" s="156">
        <v>0</v>
      </c>
      <c r="J63" s="156">
        <v>0</v>
      </c>
      <c r="K63" s="156">
        <f t="shared" si="18"/>
        <v>144</v>
      </c>
      <c r="L63" s="160">
        <f t="shared" si="19"/>
        <v>1064.1599999999999</v>
      </c>
      <c r="M63" s="160">
        <f t="shared" si="19"/>
        <v>0</v>
      </c>
      <c r="N63" s="160">
        <f t="shared" si="19"/>
        <v>0</v>
      </c>
      <c r="O63" s="160">
        <f t="shared" si="19"/>
        <v>0</v>
      </c>
      <c r="P63" s="160">
        <f t="shared" si="20"/>
        <v>1064.1599999999999</v>
      </c>
      <c r="Q63" s="161"/>
      <c r="R63" s="136"/>
      <c r="S63" s="108" t="str">
        <f t="shared" si="21"/>
        <v>Materiais e EPIs/EPCs (sob demanda)</v>
      </c>
      <c r="T63" s="110"/>
    </row>
    <row r="64" spans="1:20" ht="38.25">
      <c r="A64" s="155">
        <v>26</v>
      </c>
      <c r="B64" s="172" t="s">
        <v>183</v>
      </c>
      <c r="C64" s="173" t="s">
        <v>268</v>
      </c>
      <c r="D64" s="174" t="s">
        <v>342</v>
      </c>
      <c r="E64" s="156" t="s">
        <v>343</v>
      </c>
      <c r="F64" s="159">
        <v>12.16</v>
      </c>
      <c r="G64" s="156">
        <v>20</v>
      </c>
      <c r="H64" s="156">
        <v>0</v>
      </c>
      <c r="I64" s="156">
        <v>0</v>
      </c>
      <c r="J64" s="156">
        <v>0</v>
      </c>
      <c r="K64" s="156">
        <f t="shared" si="18"/>
        <v>20</v>
      </c>
      <c r="L64" s="160">
        <f t="shared" si="19"/>
        <v>243.2</v>
      </c>
      <c r="M64" s="160">
        <f t="shared" si="19"/>
        <v>0</v>
      </c>
      <c r="N64" s="160">
        <f t="shared" si="19"/>
        <v>0</v>
      </c>
      <c r="O64" s="160">
        <f t="shared" si="19"/>
        <v>0</v>
      </c>
      <c r="P64" s="160">
        <f t="shared" si="20"/>
        <v>243.2</v>
      </c>
      <c r="Q64" s="161"/>
      <c r="R64" s="136"/>
      <c r="S64" s="108" t="str">
        <f t="shared" si="21"/>
        <v>Materiais e EPIs/EPCs (sob demanda)</v>
      </c>
      <c r="T64" s="110"/>
    </row>
    <row r="65" spans="1:20" ht="38.25">
      <c r="A65" s="155">
        <v>27</v>
      </c>
      <c r="B65" s="172" t="s">
        <v>183</v>
      </c>
      <c r="C65" s="173" t="s">
        <v>270</v>
      </c>
      <c r="D65" s="174" t="s">
        <v>22</v>
      </c>
      <c r="E65" s="156" t="s">
        <v>216</v>
      </c>
      <c r="F65" s="159">
        <v>33.81</v>
      </c>
      <c r="G65" s="156">
        <v>10</v>
      </c>
      <c r="H65" s="156">
        <v>0</v>
      </c>
      <c r="I65" s="156">
        <v>0</v>
      </c>
      <c r="J65" s="156">
        <v>0</v>
      </c>
      <c r="K65" s="156">
        <f t="shared" si="18"/>
        <v>10</v>
      </c>
      <c r="L65" s="160">
        <f t="shared" si="19"/>
        <v>338.1</v>
      </c>
      <c r="M65" s="160">
        <f t="shared" si="19"/>
        <v>0</v>
      </c>
      <c r="N65" s="160">
        <f t="shared" si="19"/>
        <v>0</v>
      </c>
      <c r="O65" s="160">
        <f t="shared" si="19"/>
        <v>0</v>
      </c>
      <c r="P65" s="160">
        <f t="shared" si="20"/>
        <v>338.1</v>
      </c>
      <c r="Q65" s="161"/>
      <c r="R65" s="136"/>
      <c r="S65" s="108" t="str">
        <f t="shared" si="21"/>
        <v>Materiais e EPIs/EPCs (sob demanda)</v>
      </c>
      <c r="T65" s="110"/>
    </row>
    <row r="66" spans="1:20" ht="38.25">
      <c r="A66" s="155">
        <v>28</v>
      </c>
      <c r="B66" s="172" t="s">
        <v>183</v>
      </c>
      <c r="C66" s="173" t="s">
        <v>272</v>
      </c>
      <c r="D66" s="174" t="s">
        <v>346</v>
      </c>
      <c r="E66" s="156" t="s">
        <v>216</v>
      </c>
      <c r="F66" s="159">
        <v>36.6</v>
      </c>
      <c r="G66" s="156">
        <v>40</v>
      </c>
      <c r="H66" s="156">
        <v>0</v>
      </c>
      <c r="I66" s="156">
        <v>0</v>
      </c>
      <c r="J66" s="156">
        <v>0</v>
      </c>
      <c r="K66" s="156">
        <f t="shared" si="18"/>
        <v>40</v>
      </c>
      <c r="L66" s="160">
        <f t="shared" si="19"/>
        <v>1464</v>
      </c>
      <c r="M66" s="160">
        <f t="shared" si="19"/>
        <v>0</v>
      </c>
      <c r="N66" s="160">
        <f t="shared" si="19"/>
        <v>0</v>
      </c>
      <c r="O66" s="160">
        <f t="shared" si="19"/>
        <v>0</v>
      </c>
      <c r="P66" s="160">
        <f t="shared" si="20"/>
        <v>1464</v>
      </c>
      <c r="Q66" s="161"/>
      <c r="R66" s="136"/>
      <c r="S66" s="108" t="str">
        <f t="shared" si="21"/>
        <v>Materiais e EPIs/EPCs (sob demanda)</v>
      </c>
      <c r="T66" s="110"/>
    </row>
    <row r="67" spans="1:20" ht="38.25">
      <c r="A67" s="155">
        <v>29</v>
      </c>
      <c r="B67" s="172" t="s">
        <v>183</v>
      </c>
      <c r="C67" s="173" t="s">
        <v>273</v>
      </c>
      <c r="D67" s="174" t="s">
        <v>473</v>
      </c>
      <c r="E67" s="156" t="s">
        <v>216</v>
      </c>
      <c r="F67" s="159">
        <v>35.299999999999997</v>
      </c>
      <c r="G67" s="156">
        <v>48</v>
      </c>
      <c r="H67" s="156">
        <v>0</v>
      </c>
      <c r="I67" s="156">
        <v>0</v>
      </c>
      <c r="J67" s="156">
        <v>0</v>
      </c>
      <c r="K67" s="156">
        <f t="shared" si="18"/>
        <v>48</v>
      </c>
      <c r="L67" s="160">
        <f t="shared" si="19"/>
        <v>1694.3999999999999</v>
      </c>
      <c r="M67" s="160">
        <f t="shared" si="19"/>
        <v>0</v>
      </c>
      <c r="N67" s="160">
        <f t="shared" si="19"/>
        <v>0</v>
      </c>
      <c r="O67" s="160">
        <f t="shared" si="19"/>
        <v>0</v>
      </c>
      <c r="P67" s="160">
        <f t="shared" si="20"/>
        <v>1694.3999999999999</v>
      </c>
      <c r="Q67" s="161"/>
      <c r="R67" s="136"/>
      <c r="S67" s="108" t="str">
        <f t="shared" si="21"/>
        <v>Materiais e EPIs/EPCs (sob demanda)</v>
      </c>
      <c r="T67" s="110"/>
    </row>
    <row r="68" spans="1:20" ht="38.25">
      <c r="A68" s="155">
        <v>30</v>
      </c>
      <c r="B68" s="172" t="s">
        <v>183</v>
      </c>
      <c r="C68" s="173" t="s">
        <v>275</v>
      </c>
      <c r="D68" s="174" t="s">
        <v>474</v>
      </c>
      <c r="E68" s="156" t="s">
        <v>338</v>
      </c>
      <c r="F68" s="159">
        <v>6.72</v>
      </c>
      <c r="G68" s="156">
        <v>180</v>
      </c>
      <c r="H68" s="156">
        <v>0</v>
      </c>
      <c r="I68" s="156">
        <v>0</v>
      </c>
      <c r="J68" s="156">
        <v>0</v>
      </c>
      <c r="K68" s="156">
        <f t="shared" si="18"/>
        <v>180</v>
      </c>
      <c r="L68" s="160">
        <f t="shared" si="19"/>
        <v>1209.5999999999999</v>
      </c>
      <c r="M68" s="160">
        <f t="shared" si="19"/>
        <v>0</v>
      </c>
      <c r="N68" s="160">
        <f t="shared" si="19"/>
        <v>0</v>
      </c>
      <c r="O68" s="160">
        <f t="shared" si="19"/>
        <v>0</v>
      </c>
      <c r="P68" s="160">
        <f t="shared" si="20"/>
        <v>1209.5999999999999</v>
      </c>
      <c r="Q68" s="161"/>
      <c r="R68" s="136"/>
      <c r="S68" s="108" t="str">
        <f t="shared" si="21"/>
        <v>Materiais e EPIs/EPCs (sob demanda)</v>
      </c>
      <c r="T68" s="110"/>
    </row>
    <row r="69" spans="1:20" ht="38.25">
      <c r="A69" s="155">
        <v>31</v>
      </c>
      <c r="B69" s="172" t="s">
        <v>183</v>
      </c>
      <c r="C69" s="173" t="s">
        <v>276</v>
      </c>
      <c r="D69" s="174" t="s">
        <v>235</v>
      </c>
      <c r="E69" s="156" t="s">
        <v>338</v>
      </c>
      <c r="F69" s="159">
        <v>12.4</v>
      </c>
      <c r="G69" s="156">
        <v>144</v>
      </c>
      <c r="H69" s="156">
        <v>0</v>
      </c>
      <c r="I69" s="156">
        <v>0</v>
      </c>
      <c r="J69" s="156">
        <v>0</v>
      </c>
      <c r="K69" s="156">
        <f t="shared" si="18"/>
        <v>144</v>
      </c>
      <c r="L69" s="160">
        <f t="shared" si="19"/>
        <v>1785.6000000000001</v>
      </c>
      <c r="M69" s="160">
        <f t="shared" si="19"/>
        <v>0</v>
      </c>
      <c r="N69" s="160">
        <f t="shared" si="19"/>
        <v>0</v>
      </c>
      <c r="O69" s="160">
        <f t="shared" si="19"/>
        <v>0</v>
      </c>
      <c r="P69" s="160">
        <f t="shared" si="20"/>
        <v>1785.6000000000001</v>
      </c>
      <c r="Q69" s="161"/>
      <c r="R69" s="136"/>
      <c r="S69" s="108" t="str">
        <f t="shared" si="21"/>
        <v>Materiais e EPIs/EPCs (sob demanda)</v>
      </c>
      <c r="T69" s="110"/>
    </row>
    <row r="70" spans="1:20" ht="38.25">
      <c r="A70" s="155">
        <v>32</v>
      </c>
      <c r="B70" s="172" t="s">
        <v>183</v>
      </c>
      <c r="C70" s="173" t="s">
        <v>278</v>
      </c>
      <c r="D70" s="174" t="s">
        <v>475</v>
      </c>
      <c r="E70" s="156" t="s">
        <v>216</v>
      </c>
      <c r="F70" s="159">
        <v>15.44</v>
      </c>
      <c r="G70" s="156">
        <v>32</v>
      </c>
      <c r="H70" s="156">
        <v>0</v>
      </c>
      <c r="I70" s="156">
        <v>0</v>
      </c>
      <c r="J70" s="156">
        <v>0</v>
      </c>
      <c r="K70" s="156">
        <f t="shared" si="18"/>
        <v>32</v>
      </c>
      <c r="L70" s="160">
        <f t="shared" si="19"/>
        <v>494.08</v>
      </c>
      <c r="M70" s="160">
        <f t="shared" si="19"/>
        <v>0</v>
      </c>
      <c r="N70" s="160">
        <f t="shared" si="19"/>
        <v>0</v>
      </c>
      <c r="O70" s="160">
        <f t="shared" si="19"/>
        <v>0</v>
      </c>
      <c r="P70" s="160">
        <f t="shared" si="20"/>
        <v>494.08</v>
      </c>
      <c r="Q70" s="161"/>
      <c r="R70" s="136"/>
      <c r="S70" s="108" t="str">
        <f t="shared" si="21"/>
        <v>Materiais e EPIs/EPCs (sob demanda)</v>
      </c>
      <c r="T70" s="110"/>
    </row>
    <row r="71" spans="1:20" ht="38.25">
      <c r="A71" s="155">
        <v>33</v>
      </c>
      <c r="B71" s="172" t="s">
        <v>183</v>
      </c>
      <c r="C71" s="173" t="s">
        <v>279</v>
      </c>
      <c r="D71" s="174" t="s">
        <v>226</v>
      </c>
      <c r="E71" s="156" t="s">
        <v>216</v>
      </c>
      <c r="F71" s="159">
        <v>40.46</v>
      </c>
      <c r="G71" s="156">
        <v>12</v>
      </c>
      <c r="H71" s="156">
        <v>0</v>
      </c>
      <c r="I71" s="156">
        <v>0</v>
      </c>
      <c r="J71" s="156">
        <v>0</v>
      </c>
      <c r="K71" s="156">
        <f t="shared" si="18"/>
        <v>12</v>
      </c>
      <c r="L71" s="160">
        <f t="shared" si="19"/>
        <v>485.52</v>
      </c>
      <c r="M71" s="160">
        <f t="shared" si="19"/>
        <v>0</v>
      </c>
      <c r="N71" s="160">
        <f t="shared" si="19"/>
        <v>0</v>
      </c>
      <c r="O71" s="160">
        <f t="shared" si="19"/>
        <v>0</v>
      </c>
      <c r="P71" s="160">
        <f t="shared" si="20"/>
        <v>485.52</v>
      </c>
      <c r="Q71" s="161"/>
      <c r="R71" s="136"/>
      <c r="S71" s="108" t="str">
        <f t="shared" si="21"/>
        <v>Materiais e EPIs/EPCs (sob demanda)</v>
      </c>
      <c r="T71" s="110"/>
    </row>
    <row r="72" spans="1:20" ht="38.25">
      <c r="A72" s="155">
        <v>34</v>
      </c>
      <c r="B72" s="172" t="s">
        <v>183</v>
      </c>
      <c r="C72" s="173" t="s">
        <v>280</v>
      </c>
      <c r="D72" s="174" t="s">
        <v>22</v>
      </c>
      <c r="E72" s="156" t="s">
        <v>216</v>
      </c>
      <c r="F72" s="159">
        <v>5.55</v>
      </c>
      <c r="G72" s="156">
        <v>240</v>
      </c>
      <c r="H72" s="156">
        <v>0</v>
      </c>
      <c r="I72" s="156">
        <v>0</v>
      </c>
      <c r="J72" s="156">
        <v>0</v>
      </c>
      <c r="K72" s="156">
        <f t="shared" si="18"/>
        <v>240</v>
      </c>
      <c r="L72" s="160">
        <f t="shared" si="19"/>
        <v>1332</v>
      </c>
      <c r="M72" s="160">
        <f t="shared" si="19"/>
        <v>0</v>
      </c>
      <c r="N72" s="160">
        <f t="shared" si="19"/>
        <v>0</v>
      </c>
      <c r="O72" s="160">
        <f t="shared" si="19"/>
        <v>0</v>
      </c>
      <c r="P72" s="160">
        <f t="shared" si="20"/>
        <v>1332</v>
      </c>
      <c r="Q72" s="161"/>
      <c r="R72" s="136"/>
      <c r="S72" s="108" t="str">
        <f t="shared" si="21"/>
        <v>Materiais e EPIs/EPCs (sob demanda)</v>
      </c>
      <c r="T72" s="110"/>
    </row>
    <row r="73" spans="1:20" ht="38.25">
      <c r="A73" s="155">
        <v>35</v>
      </c>
      <c r="B73" s="172" t="s">
        <v>183</v>
      </c>
      <c r="C73" s="173" t="s">
        <v>281</v>
      </c>
      <c r="D73" s="174" t="s">
        <v>476</v>
      </c>
      <c r="E73" s="156" t="s">
        <v>477</v>
      </c>
      <c r="F73" s="159">
        <v>5.12</v>
      </c>
      <c r="G73" s="156">
        <v>60</v>
      </c>
      <c r="H73" s="156">
        <v>0</v>
      </c>
      <c r="I73" s="156">
        <v>0</v>
      </c>
      <c r="J73" s="156">
        <v>0</v>
      </c>
      <c r="K73" s="156">
        <f t="shared" si="18"/>
        <v>60</v>
      </c>
      <c r="L73" s="160">
        <f t="shared" si="19"/>
        <v>307.2</v>
      </c>
      <c r="M73" s="160">
        <f t="shared" si="19"/>
        <v>0</v>
      </c>
      <c r="N73" s="160">
        <f t="shared" si="19"/>
        <v>0</v>
      </c>
      <c r="O73" s="160">
        <f t="shared" si="19"/>
        <v>0</v>
      </c>
      <c r="P73" s="160">
        <f t="shared" si="20"/>
        <v>307.2</v>
      </c>
      <c r="Q73" s="161"/>
      <c r="R73" s="136"/>
      <c r="S73" s="108" t="str">
        <f t="shared" si="21"/>
        <v>Materiais e EPIs/EPCs (sob demanda)</v>
      </c>
      <c r="T73" s="110"/>
    </row>
    <row r="74" spans="1:20" ht="38.25">
      <c r="A74" s="155">
        <v>36</v>
      </c>
      <c r="B74" s="172" t="s">
        <v>183</v>
      </c>
      <c r="C74" s="173" t="s">
        <v>283</v>
      </c>
      <c r="D74" s="174" t="s">
        <v>478</v>
      </c>
      <c r="E74" s="156" t="s">
        <v>479</v>
      </c>
      <c r="F74" s="159">
        <v>231.64</v>
      </c>
      <c r="G74" s="156">
        <v>144</v>
      </c>
      <c r="H74" s="156">
        <v>0</v>
      </c>
      <c r="I74" s="156">
        <v>0</v>
      </c>
      <c r="J74" s="156">
        <v>0</v>
      </c>
      <c r="K74" s="156">
        <f t="shared" si="18"/>
        <v>144</v>
      </c>
      <c r="L74" s="160">
        <f t="shared" si="19"/>
        <v>33356.159999999996</v>
      </c>
      <c r="M74" s="160">
        <f t="shared" si="19"/>
        <v>0</v>
      </c>
      <c r="N74" s="160">
        <f t="shared" si="19"/>
        <v>0</v>
      </c>
      <c r="O74" s="160">
        <f t="shared" si="19"/>
        <v>0</v>
      </c>
      <c r="P74" s="160">
        <f t="shared" si="20"/>
        <v>33356.159999999996</v>
      </c>
      <c r="Q74" s="161"/>
      <c r="R74" s="136"/>
      <c r="S74" s="108" t="str">
        <f t="shared" si="21"/>
        <v>Materiais e EPIs/EPCs (sob demanda)</v>
      </c>
      <c r="T74" s="110"/>
    </row>
    <row r="75" spans="1:20" ht="76.5">
      <c r="A75" s="155">
        <v>37</v>
      </c>
      <c r="B75" s="172" t="s">
        <v>183</v>
      </c>
      <c r="C75" s="173" t="s">
        <v>284</v>
      </c>
      <c r="D75" s="174" t="s">
        <v>480</v>
      </c>
      <c r="E75" s="156" t="s">
        <v>481</v>
      </c>
      <c r="F75" s="159">
        <v>37.93</v>
      </c>
      <c r="G75" s="156">
        <v>144</v>
      </c>
      <c r="H75" s="156">
        <v>0</v>
      </c>
      <c r="I75" s="156">
        <v>0</v>
      </c>
      <c r="J75" s="156">
        <v>0</v>
      </c>
      <c r="K75" s="156">
        <f t="shared" si="18"/>
        <v>144</v>
      </c>
      <c r="L75" s="160">
        <f t="shared" si="19"/>
        <v>5461.92</v>
      </c>
      <c r="M75" s="160">
        <f t="shared" si="19"/>
        <v>0</v>
      </c>
      <c r="N75" s="160">
        <f t="shared" si="19"/>
        <v>0</v>
      </c>
      <c r="O75" s="160">
        <f t="shared" si="19"/>
        <v>0</v>
      </c>
      <c r="P75" s="160">
        <f t="shared" si="20"/>
        <v>5461.92</v>
      </c>
      <c r="Q75" s="161"/>
      <c r="R75" s="136"/>
      <c r="S75" s="108" t="str">
        <f t="shared" si="21"/>
        <v>Materiais e EPIs/EPCs (sob demanda)</v>
      </c>
      <c r="T75" s="110"/>
    </row>
    <row r="76" spans="1:20" ht="76.5">
      <c r="A76" s="155">
        <v>38</v>
      </c>
      <c r="B76" s="172" t="s">
        <v>183</v>
      </c>
      <c r="C76" s="173" t="s">
        <v>285</v>
      </c>
      <c r="D76" s="174" t="s">
        <v>482</v>
      </c>
      <c r="E76" s="156" t="s">
        <v>483</v>
      </c>
      <c r="F76" s="159">
        <v>12.66</v>
      </c>
      <c r="G76" s="156">
        <v>840</v>
      </c>
      <c r="H76" s="156">
        <v>0</v>
      </c>
      <c r="I76" s="156">
        <v>0</v>
      </c>
      <c r="J76" s="156">
        <v>0</v>
      </c>
      <c r="K76" s="156">
        <f t="shared" si="18"/>
        <v>840</v>
      </c>
      <c r="L76" s="160">
        <f t="shared" si="19"/>
        <v>10634.4</v>
      </c>
      <c r="M76" s="160">
        <f t="shared" si="19"/>
        <v>0</v>
      </c>
      <c r="N76" s="160">
        <f t="shared" si="19"/>
        <v>0</v>
      </c>
      <c r="O76" s="160">
        <f t="shared" si="19"/>
        <v>0</v>
      </c>
      <c r="P76" s="160">
        <f t="shared" si="20"/>
        <v>10634.4</v>
      </c>
      <c r="Q76" s="161"/>
      <c r="R76" s="136"/>
      <c r="S76" s="108" t="str">
        <f t="shared" si="21"/>
        <v>Materiais e EPIs/EPCs (sob demanda)</v>
      </c>
      <c r="T76" s="110"/>
    </row>
    <row r="77" spans="1:20" ht="38.25">
      <c r="A77" s="155">
        <v>39</v>
      </c>
      <c r="B77" s="172" t="s">
        <v>183</v>
      </c>
      <c r="C77" s="173" t="s">
        <v>287</v>
      </c>
      <c r="D77" s="174" t="s">
        <v>484</v>
      </c>
      <c r="E77" s="156" t="s">
        <v>216</v>
      </c>
      <c r="F77" s="159">
        <v>6.14</v>
      </c>
      <c r="G77" s="156">
        <v>144</v>
      </c>
      <c r="H77" s="156">
        <v>0</v>
      </c>
      <c r="I77" s="156">
        <v>0</v>
      </c>
      <c r="J77" s="156">
        <v>0</v>
      </c>
      <c r="K77" s="156">
        <f t="shared" si="18"/>
        <v>144</v>
      </c>
      <c r="L77" s="160">
        <f t="shared" si="19"/>
        <v>884.16</v>
      </c>
      <c r="M77" s="160">
        <f t="shared" si="19"/>
        <v>0</v>
      </c>
      <c r="N77" s="160">
        <f t="shared" si="19"/>
        <v>0</v>
      </c>
      <c r="O77" s="160">
        <f t="shared" si="19"/>
        <v>0</v>
      </c>
      <c r="P77" s="160">
        <f t="shared" si="20"/>
        <v>884.16</v>
      </c>
      <c r="Q77" s="161"/>
      <c r="R77" s="136"/>
      <c r="S77" s="108" t="str">
        <f t="shared" si="21"/>
        <v>Materiais e EPIs/EPCs (sob demanda)</v>
      </c>
      <c r="T77" s="110"/>
    </row>
    <row r="78" spans="1:20" ht="38.25">
      <c r="A78" s="155">
        <v>40</v>
      </c>
      <c r="B78" s="172" t="s">
        <v>183</v>
      </c>
      <c r="C78" s="173" t="s">
        <v>288</v>
      </c>
      <c r="D78" s="174" t="s">
        <v>485</v>
      </c>
      <c r="E78" s="156" t="s">
        <v>216</v>
      </c>
      <c r="F78" s="159">
        <v>46.33</v>
      </c>
      <c r="G78" s="156">
        <v>10</v>
      </c>
      <c r="H78" s="156">
        <v>0</v>
      </c>
      <c r="I78" s="156">
        <v>0</v>
      </c>
      <c r="J78" s="156">
        <v>0</v>
      </c>
      <c r="K78" s="156">
        <f t="shared" si="18"/>
        <v>10</v>
      </c>
      <c r="L78" s="160">
        <f t="shared" si="19"/>
        <v>463.29999999999995</v>
      </c>
      <c r="M78" s="160">
        <f t="shared" si="19"/>
        <v>0</v>
      </c>
      <c r="N78" s="160">
        <f t="shared" si="19"/>
        <v>0</v>
      </c>
      <c r="O78" s="160">
        <f t="shared" si="19"/>
        <v>0</v>
      </c>
      <c r="P78" s="160">
        <f t="shared" si="20"/>
        <v>463.29999999999995</v>
      </c>
      <c r="Q78" s="161"/>
      <c r="R78" s="136"/>
      <c r="S78" s="108" t="str">
        <f t="shared" si="21"/>
        <v>Materiais e EPIs/EPCs (sob demanda)</v>
      </c>
      <c r="T78" s="110"/>
    </row>
    <row r="79" spans="1:20" ht="51">
      <c r="A79" s="155">
        <v>41</v>
      </c>
      <c r="B79" s="172" t="s">
        <v>183</v>
      </c>
      <c r="C79" s="173" t="s">
        <v>289</v>
      </c>
      <c r="D79" s="174" t="s">
        <v>486</v>
      </c>
      <c r="E79" s="156" t="s">
        <v>216</v>
      </c>
      <c r="F79" s="159">
        <v>15.19</v>
      </c>
      <c r="G79" s="156">
        <v>144</v>
      </c>
      <c r="H79" s="156">
        <v>0</v>
      </c>
      <c r="I79" s="156">
        <v>0</v>
      </c>
      <c r="J79" s="156">
        <v>0</v>
      </c>
      <c r="K79" s="156">
        <f t="shared" si="18"/>
        <v>144</v>
      </c>
      <c r="L79" s="160">
        <f t="shared" si="19"/>
        <v>2187.36</v>
      </c>
      <c r="M79" s="160">
        <f t="shared" si="19"/>
        <v>0</v>
      </c>
      <c r="N79" s="160">
        <f t="shared" si="19"/>
        <v>0</v>
      </c>
      <c r="O79" s="160">
        <f t="shared" si="19"/>
        <v>0</v>
      </c>
      <c r="P79" s="160">
        <f t="shared" si="20"/>
        <v>2187.36</v>
      </c>
      <c r="Q79" s="161"/>
      <c r="R79" s="136"/>
      <c r="S79" s="108" t="str">
        <f t="shared" si="21"/>
        <v>Materiais e EPIs/EPCs (sob demanda)</v>
      </c>
      <c r="T79" s="110"/>
    </row>
    <row r="80" spans="1:20" ht="38.25">
      <c r="A80" s="155">
        <v>42</v>
      </c>
      <c r="B80" s="172" t="s">
        <v>183</v>
      </c>
      <c r="C80" s="173" t="s">
        <v>290</v>
      </c>
      <c r="D80" s="174" t="s">
        <v>487</v>
      </c>
      <c r="E80" s="156" t="s">
        <v>216</v>
      </c>
      <c r="F80" s="159">
        <v>43.73</v>
      </c>
      <c r="G80" s="156">
        <v>48</v>
      </c>
      <c r="H80" s="156">
        <v>0</v>
      </c>
      <c r="I80" s="156">
        <v>0</v>
      </c>
      <c r="J80" s="156">
        <v>0</v>
      </c>
      <c r="K80" s="156">
        <f t="shared" si="18"/>
        <v>48</v>
      </c>
      <c r="L80" s="160">
        <f t="shared" si="19"/>
        <v>2099.04</v>
      </c>
      <c r="M80" s="160">
        <f t="shared" si="19"/>
        <v>0</v>
      </c>
      <c r="N80" s="160">
        <f t="shared" si="19"/>
        <v>0</v>
      </c>
      <c r="O80" s="160">
        <f t="shared" si="19"/>
        <v>0</v>
      </c>
      <c r="P80" s="160">
        <f t="shared" si="20"/>
        <v>2099.04</v>
      </c>
      <c r="Q80" s="161"/>
      <c r="R80" s="136"/>
      <c r="S80" s="108" t="str">
        <f t="shared" si="21"/>
        <v>Materiais e EPIs/EPCs (sob demanda)</v>
      </c>
      <c r="T80" s="110"/>
    </row>
    <row r="81" spans="1:20" ht="38.25">
      <c r="A81" s="155">
        <v>43</v>
      </c>
      <c r="B81" s="172" t="s">
        <v>183</v>
      </c>
      <c r="C81" s="173" t="s">
        <v>292</v>
      </c>
      <c r="D81" s="174" t="s">
        <v>488</v>
      </c>
      <c r="E81" s="156" t="s">
        <v>216</v>
      </c>
      <c r="F81" s="159">
        <v>8.59</v>
      </c>
      <c r="G81" s="156">
        <v>48</v>
      </c>
      <c r="H81" s="156">
        <v>0</v>
      </c>
      <c r="I81" s="156">
        <v>0</v>
      </c>
      <c r="J81" s="156">
        <v>0</v>
      </c>
      <c r="K81" s="156">
        <f t="shared" si="18"/>
        <v>48</v>
      </c>
      <c r="L81" s="160">
        <f t="shared" si="19"/>
        <v>412.32</v>
      </c>
      <c r="M81" s="160">
        <f t="shared" si="19"/>
        <v>0</v>
      </c>
      <c r="N81" s="160">
        <f t="shared" si="19"/>
        <v>0</v>
      </c>
      <c r="O81" s="160">
        <f t="shared" si="19"/>
        <v>0</v>
      </c>
      <c r="P81" s="160">
        <f t="shared" si="20"/>
        <v>412.32</v>
      </c>
      <c r="Q81" s="161"/>
      <c r="R81" s="136"/>
      <c r="S81" s="108" t="str">
        <f t="shared" si="21"/>
        <v>Materiais e EPIs/EPCs (sob demanda)</v>
      </c>
      <c r="T81" s="110"/>
    </row>
    <row r="82" spans="1:20" ht="51">
      <c r="A82" s="155">
        <v>44</v>
      </c>
      <c r="B82" s="172" t="s">
        <v>183</v>
      </c>
      <c r="C82" s="173" t="s">
        <v>294</v>
      </c>
      <c r="D82" s="174" t="s">
        <v>489</v>
      </c>
      <c r="E82" s="156" t="s">
        <v>490</v>
      </c>
      <c r="F82" s="159">
        <v>40.76</v>
      </c>
      <c r="G82" s="156">
        <v>240</v>
      </c>
      <c r="H82" s="156">
        <v>0</v>
      </c>
      <c r="I82" s="156">
        <v>0</v>
      </c>
      <c r="J82" s="156">
        <v>0</v>
      </c>
      <c r="K82" s="156">
        <f t="shared" si="18"/>
        <v>240</v>
      </c>
      <c r="L82" s="160">
        <f t="shared" si="19"/>
        <v>9782.4</v>
      </c>
      <c r="M82" s="160">
        <f t="shared" si="19"/>
        <v>0</v>
      </c>
      <c r="N82" s="160">
        <f t="shared" si="19"/>
        <v>0</v>
      </c>
      <c r="O82" s="160">
        <f t="shared" si="19"/>
        <v>0</v>
      </c>
      <c r="P82" s="160">
        <f t="shared" si="20"/>
        <v>9782.4</v>
      </c>
      <c r="Q82" s="161"/>
      <c r="R82" s="136"/>
      <c r="S82" s="108" t="str">
        <f t="shared" si="21"/>
        <v>Materiais e EPIs/EPCs (sob demanda)</v>
      </c>
      <c r="T82" s="110"/>
    </row>
    <row r="83" spans="1:20" ht="127.5">
      <c r="A83" s="155">
        <v>45</v>
      </c>
      <c r="B83" s="172" t="s">
        <v>183</v>
      </c>
      <c r="C83" s="173" t="s">
        <v>296</v>
      </c>
      <c r="D83" s="174" t="s">
        <v>491</v>
      </c>
      <c r="E83" s="156" t="s">
        <v>231</v>
      </c>
      <c r="F83" s="159">
        <v>41.91</v>
      </c>
      <c r="G83" s="156">
        <v>144</v>
      </c>
      <c r="H83" s="156">
        <v>0</v>
      </c>
      <c r="I83" s="156">
        <v>0</v>
      </c>
      <c r="J83" s="156">
        <v>0</v>
      </c>
      <c r="K83" s="156">
        <f t="shared" si="18"/>
        <v>144</v>
      </c>
      <c r="L83" s="160">
        <f t="shared" si="19"/>
        <v>6035.0399999999991</v>
      </c>
      <c r="M83" s="160">
        <f t="shared" si="19"/>
        <v>0</v>
      </c>
      <c r="N83" s="160">
        <f t="shared" si="19"/>
        <v>0</v>
      </c>
      <c r="O83" s="160">
        <f t="shared" si="19"/>
        <v>0</v>
      </c>
      <c r="P83" s="160">
        <f t="shared" si="20"/>
        <v>6035.0399999999991</v>
      </c>
      <c r="Q83" s="161"/>
      <c r="R83" s="136"/>
      <c r="S83" s="108" t="str">
        <f t="shared" si="21"/>
        <v>Materiais e EPIs/EPCs (sob demanda)</v>
      </c>
      <c r="T83" s="110"/>
    </row>
    <row r="84" spans="1:20" ht="140.25">
      <c r="A84" s="155">
        <v>46</v>
      </c>
      <c r="B84" s="172" t="s">
        <v>183</v>
      </c>
      <c r="C84" s="173" t="s">
        <v>298</v>
      </c>
      <c r="D84" s="174" t="s">
        <v>492</v>
      </c>
      <c r="E84" s="156" t="s">
        <v>216</v>
      </c>
      <c r="F84" s="159">
        <v>29.62</v>
      </c>
      <c r="G84" s="156">
        <v>72</v>
      </c>
      <c r="H84" s="156">
        <v>0</v>
      </c>
      <c r="I84" s="156">
        <v>0</v>
      </c>
      <c r="J84" s="156">
        <v>0</v>
      </c>
      <c r="K84" s="156">
        <f t="shared" si="18"/>
        <v>72</v>
      </c>
      <c r="L84" s="160">
        <f t="shared" si="19"/>
        <v>2132.64</v>
      </c>
      <c r="M84" s="160">
        <f t="shared" si="19"/>
        <v>0</v>
      </c>
      <c r="N84" s="160">
        <f t="shared" si="19"/>
        <v>0</v>
      </c>
      <c r="O84" s="160">
        <f t="shared" si="19"/>
        <v>0</v>
      </c>
      <c r="P84" s="160">
        <f t="shared" si="20"/>
        <v>2132.64</v>
      </c>
      <c r="Q84" s="161"/>
      <c r="R84" s="136"/>
      <c r="S84" s="108" t="str">
        <f t="shared" si="21"/>
        <v>Materiais e EPIs/EPCs (sob demanda)</v>
      </c>
      <c r="T84" s="110"/>
    </row>
    <row r="85" spans="1:20" ht="51">
      <c r="A85" s="155">
        <v>47</v>
      </c>
      <c r="B85" s="172" t="s">
        <v>183</v>
      </c>
      <c r="C85" s="173" t="s">
        <v>300</v>
      </c>
      <c r="D85" s="174" t="s">
        <v>493</v>
      </c>
      <c r="E85" s="156" t="s">
        <v>314</v>
      </c>
      <c r="F85" s="159">
        <v>43.66</v>
      </c>
      <c r="G85" s="156">
        <v>144</v>
      </c>
      <c r="H85" s="156">
        <v>0</v>
      </c>
      <c r="I85" s="156">
        <v>0</v>
      </c>
      <c r="J85" s="156">
        <v>0</v>
      </c>
      <c r="K85" s="156">
        <f t="shared" si="18"/>
        <v>144</v>
      </c>
      <c r="L85" s="160">
        <f t="shared" si="19"/>
        <v>6287.0399999999991</v>
      </c>
      <c r="M85" s="160">
        <f t="shared" si="19"/>
        <v>0</v>
      </c>
      <c r="N85" s="160">
        <f t="shared" si="19"/>
        <v>0</v>
      </c>
      <c r="O85" s="160">
        <f t="shared" si="19"/>
        <v>0</v>
      </c>
      <c r="P85" s="160">
        <f t="shared" si="20"/>
        <v>6287.0399999999991</v>
      </c>
      <c r="Q85" s="161"/>
      <c r="R85" s="136"/>
      <c r="S85" s="108" t="str">
        <f t="shared" si="21"/>
        <v>Materiais e EPIs/EPCs (sob demanda)</v>
      </c>
      <c r="T85" s="110"/>
    </row>
    <row r="86" spans="1:20" ht="38.25">
      <c r="A86" s="155">
        <v>48</v>
      </c>
      <c r="B86" s="172" t="s">
        <v>183</v>
      </c>
      <c r="C86" s="173" t="s">
        <v>301</v>
      </c>
      <c r="D86" s="174" t="s">
        <v>493</v>
      </c>
      <c r="E86" s="156" t="s">
        <v>314</v>
      </c>
      <c r="F86" s="159">
        <v>9.2100000000000009</v>
      </c>
      <c r="G86" s="156">
        <v>48</v>
      </c>
      <c r="H86" s="156">
        <v>0</v>
      </c>
      <c r="I86" s="156">
        <v>0</v>
      </c>
      <c r="J86" s="156">
        <v>0</v>
      </c>
      <c r="K86" s="156">
        <f t="shared" si="18"/>
        <v>48</v>
      </c>
      <c r="L86" s="160">
        <f t="shared" si="19"/>
        <v>442.08000000000004</v>
      </c>
      <c r="M86" s="160">
        <f t="shared" si="19"/>
        <v>0</v>
      </c>
      <c r="N86" s="160">
        <f t="shared" si="19"/>
        <v>0</v>
      </c>
      <c r="O86" s="160">
        <f t="shared" si="19"/>
        <v>0</v>
      </c>
      <c r="P86" s="160">
        <f t="shared" si="20"/>
        <v>442.08000000000004</v>
      </c>
      <c r="Q86" s="161"/>
      <c r="R86" s="136"/>
      <c r="S86" s="108" t="str">
        <f t="shared" si="21"/>
        <v>Materiais e EPIs/EPCs (sob demanda)</v>
      </c>
      <c r="T86" s="110"/>
    </row>
    <row r="87" spans="1:20" ht="38.25">
      <c r="A87" s="155">
        <v>49</v>
      </c>
      <c r="B87" s="172" t="s">
        <v>183</v>
      </c>
      <c r="C87" s="173" t="s">
        <v>303</v>
      </c>
      <c r="D87" s="174" t="s">
        <v>493</v>
      </c>
      <c r="E87" s="156" t="s">
        <v>314</v>
      </c>
      <c r="F87" s="159">
        <v>47.99</v>
      </c>
      <c r="G87" s="156">
        <v>144</v>
      </c>
      <c r="H87" s="156">
        <v>0</v>
      </c>
      <c r="I87" s="156">
        <v>0</v>
      </c>
      <c r="J87" s="156">
        <v>0</v>
      </c>
      <c r="K87" s="156">
        <f t="shared" si="18"/>
        <v>144</v>
      </c>
      <c r="L87" s="160">
        <f t="shared" si="19"/>
        <v>6910.56</v>
      </c>
      <c r="M87" s="160">
        <f t="shared" si="19"/>
        <v>0</v>
      </c>
      <c r="N87" s="160">
        <f t="shared" si="19"/>
        <v>0</v>
      </c>
      <c r="O87" s="160">
        <f t="shared" ref="O87:O112" si="22">$F87*J87</f>
        <v>0</v>
      </c>
      <c r="P87" s="160">
        <f t="shared" si="20"/>
        <v>6910.56</v>
      </c>
      <c r="Q87" s="161"/>
      <c r="R87" s="136"/>
      <c r="S87" s="108" t="str">
        <f t="shared" si="21"/>
        <v>Materiais e EPIs/EPCs (sob demanda)</v>
      </c>
      <c r="T87" s="110"/>
    </row>
    <row r="88" spans="1:20" ht="38.25">
      <c r="A88" s="155">
        <v>50</v>
      </c>
      <c r="B88" s="172" t="s">
        <v>183</v>
      </c>
      <c r="C88" s="173" t="s">
        <v>304</v>
      </c>
      <c r="D88" s="174" t="s">
        <v>493</v>
      </c>
      <c r="E88" s="156" t="s">
        <v>314</v>
      </c>
      <c r="F88" s="159">
        <v>10.44</v>
      </c>
      <c r="G88" s="156">
        <v>144</v>
      </c>
      <c r="H88" s="156">
        <v>0</v>
      </c>
      <c r="I88" s="156">
        <v>0</v>
      </c>
      <c r="J88" s="156">
        <v>0</v>
      </c>
      <c r="K88" s="156">
        <f t="shared" ref="K88:K112" si="23">SUM(G88:J88)</f>
        <v>144</v>
      </c>
      <c r="L88" s="160">
        <f t="shared" ref="L88:O123" si="24">$F88*G88</f>
        <v>1503.36</v>
      </c>
      <c r="M88" s="160">
        <f t="shared" si="24"/>
        <v>0</v>
      </c>
      <c r="N88" s="160">
        <f t="shared" si="24"/>
        <v>0</v>
      </c>
      <c r="O88" s="160">
        <f t="shared" si="22"/>
        <v>0</v>
      </c>
      <c r="P88" s="160">
        <f t="shared" ref="P88:P123" si="25">SUM(L88:O88)</f>
        <v>1503.36</v>
      </c>
      <c r="Q88" s="161"/>
      <c r="R88" s="136"/>
      <c r="S88" s="108" t="str">
        <f t="shared" ref="S88:S112" si="26">$D$9</f>
        <v>Materiais e EPIs/EPCs (sob demanda)</v>
      </c>
      <c r="T88" s="110"/>
    </row>
    <row r="89" spans="1:20" ht="38.25">
      <c r="A89" s="155">
        <v>51</v>
      </c>
      <c r="B89" s="172" t="s">
        <v>183</v>
      </c>
      <c r="C89" s="173" t="s">
        <v>306</v>
      </c>
      <c r="D89" s="174" t="s">
        <v>493</v>
      </c>
      <c r="E89" s="156" t="s">
        <v>314</v>
      </c>
      <c r="F89" s="159">
        <v>15.6</v>
      </c>
      <c r="G89" s="156">
        <v>72</v>
      </c>
      <c r="H89" s="156">
        <v>0</v>
      </c>
      <c r="I89" s="156">
        <v>0</v>
      </c>
      <c r="J89" s="156">
        <v>0</v>
      </c>
      <c r="K89" s="156">
        <f t="shared" si="23"/>
        <v>72</v>
      </c>
      <c r="L89" s="160">
        <f t="shared" si="24"/>
        <v>1123.2</v>
      </c>
      <c r="M89" s="160">
        <f t="shared" si="24"/>
        <v>0</v>
      </c>
      <c r="N89" s="160">
        <f t="shared" si="24"/>
        <v>0</v>
      </c>
      <c r="O89" s="160">
        <f t="shared" si="22"/>
        <v>0</v>
      </c>
      <c r="P89" s="160">
        <f t="shared" si="25"/>
        <v>1123.2</v>
      </c>
      <c r="Q89" s="161"/>
      <c r="R89" s="136"/>
      <c r="S89" s="108" t="str">
        <f t="shared" si="26"/>
        <v>Materiais e EPIs/EPCs (sob demanda)</v>
      </c>
      <c r="T89" s="110"/>
    </row>
    <row r="90" spans="1:20" ht="63.75">
      <c r="A90" s="155">
        <v>52</v>
      </c>
      <c r="B90" s="172" t="s">
        <v>183</v>
      </c>
      <c r="C90" s="173" t="s">
        <v>308</v>
      </c>
      <c r="D90" s="174" t="s">
        <v>492</v>
      </c>
      <c r="E90" s="156" t="s">
        <v>224</v>
      </c>
      <c r="F90" s="159">
        <v>19.96</v>
      </c>
      <c r="G90" s="156">
        <v>120</v>
      </c>
      <c r="H90" s="156">
        <v>0</v>
      </c>
      <c r="I90" s="156">
        <v>0</v>
      </c>
      <c r="J90" s="156">
        <v>0</v>
      </c>
      <c r="K90" s="156">
        <f t="shared" si="23"/>
        <v>120</v>
      </c>
      <c r="L90" s="160">
        <f t="shared" si="24"/>
        <v>2395.2000000000003</v>
      </c>
      <c r="M90" s="160">
        <f t="shared" si="24"/>
        <v>0</v>
      </c>
      <c r="N90" s="160">
        <f t="shared" si="24"/>
        <v>0</v>
      </c>
      <c r="O90" s="160">
        <f t="shared" si="22"/>
        <v>0</v>
      </c>
      <c r="P90" s="160">
        <f t="shared" si="25"/>
        <v>2395.2000000000003</v>
      </c>
      <c r="Q90" s="161"/>
      <c r="R90" s="136"/>
      <c r="S90" s="108" t="str">
        <f t="shared" si="26"/>
        <v>Materiais e EPIs/EPCs (sob demanda)</v>
      </c>
      <c r="T90" s="110"/>
    </row>
    <row r="91" spans="1:20" ht="38.25">
      <c r="A91" s="155">
        <v>53</v>
      </c>
      <c r="B91" s="172" t="s">
        <v>183</v>
      </c>
      <c r="C91" s="173" t="s">
        <v>310</v>
      </c>
      <c r="D91" s="174" t="s">
        <v>494</v>
      </c>
      <c r="E91" s="156" t="s">
        <v>216</v>
      </c>
      <c r="F91" s="159">
        <v>3.58</v>
      </c>
      <c r="G91" s="156">
        <v>144</v>
      </c>
      <c r="H91" s="156">
        <v>0</v>
      </c>
      <c r="I91" s="156">
        <v>0</v>
      </c>
      <c r="J91" s="156">
        <v>0</v>
      </c>
      <c r="K91" s="156">
        <f t="shared" si="23"/>
        <v>144</v>
      </c>
      <c r="L91" s="160">
        <f t="shared" si="24"/>
        <v>515.52</v>
      </c>
      <c r="M91" s="160">
        <f t="shared" si="24"/>
        <v>0</v>
      </c>
      <c r="N91" s="160">
        <f t="shared" si="24"/>
        <v>0</v>
      </c>
      <c r="O91" s="160">
        <f t="shared" si="22"/>
        <v>0</v>
      </c>
      <c r="P91" s="160">
        <f t="shared" si="25"/>
        <v>515.52</v>
      </c>
      <c r="Q91" s="161"/>
      <c r="R91" s="136"/>
      <c r="S91" s="108" t="str">
        <f t="shared" si="26"/>
        <v>Materiais e EPIs/EPCs (sob demanda)</v>
      </c>
      <c r="T91" s="110"/>
    </row>
    <row r="92" spans="1:20" ht="38.25">
      <c r="A92" s="155">
        <v>54</v>
      </c>
      <c r="B92" s="172" t="s">
        <v>183</v>
      </c>
      <c r="C92" s="173" t="s">
        <v>312</v>
      </c>
      <c r="D92" s="174" t="s">
        <v>495</v>
      </c>
      <c r="E92" s="156" t="s">
        <v>314</v>
      </c>
      <c r="F92" s="159">
        <v>9.7799999999999994</v>
      </c>
      <c r="G92" s="156">
        <v>48</v>
      </c>
      <c r="H92" s="156">
        <v>0</v>
      </c>
      <c r="I92" s="156">
        <v>0</v>
      </c>
      <c r="J92" s="156">
        <v>0</v>
      </c>
      <c r="K92" s="156">
        <f t="shared" si="23"/>
        <v>48</v>
      </c>
      <c r="L92" s="160">
        <f t="shared" si="24"/>
        <v>469.43999999999994</v>
      </c>
      <c r="M92" s="160">
        <f t="shared" si="24"/>
        <v>0</v>
      </c>
      <c r="N92" s="160">
        <f t="shared" si="24"/>
        <v>0</v>
      </c>
      <c r="O92" s="160">
        <f t="shared" si="22"/>
        <v>0</v>
      </c>
      <c r="P92" s="160">
        <f t="shared" si="25"/>
        <v>469.43999999999994</v>
      </c>
      <c r="Q92" s="161"/>
      <c r="R92" s="136"/>
      <c r="S92" s="108" t="str">
        <f t="shared" si="26"/>
        <v>Materiais e EPIs/EPCs (sob demanda)</v>
      </c>
      <c r="T92" s="110"/>
    </row>
    <row r="93" spans="1:20" ht="38.25">
      <c r="A93" s="155">
        <v>55</v>
      </c>
      <c r="B93" s="172" t="s">
        <v>183</v>
      </c>
      <c r="C93" s="173" t="s">
        <v>315</v>
      </c>
      <c r="D93" s="174" t="s">
        <v>496</v>
      </c>
      <c r="E93" s="156" t="s">
        <v>216</v>
      </c>
      <c r="F93" s="159">
        <v>19.05</v>
      </c>
      <c r="G93" s="156">
        <v>120</v>
      </c>
      <c r="H93" s="156">
        <v>0</v>
      </c>
      <c r="I93" s="156">
        <v>0</v>
      </c>
      <c r="J93" s="156">
        <v>0</v>
      </c>
      <c r="K93" s="156">
        <f t="shared" si="23"/>
        <v>120</v>
      </c>
      <c r="L93" s="160">
        <f t="shared" si="24"/>
        <v>2286</v>
      </c>
      <c r="M93" s="160">
        <f t="shared" si="24"/>
        <v>0</v>
      </c>
      <c r="N93" s="160">
        <f t="shared" si="24"/>
        <v>0</v>
      </c>
      <c r="O93" s="160">
        <f t="shared" si="22"/>
        <v>0</v>
      </c>
      <c r="P93" s="160">
        <f t="shared" si="25"/>
        <v>2286</v>
      </c>
      <c r="Q93" s="161"/>
      <c r="R93" s="136"/>
      <c r="S93" s="108" t="str">
        <f t="shared" si="26"/>
        <v>Materiais e EPIs/EPCs (sob demanda)</v>
      </c>
      <c r="T93" s="110"/>
    </row>
    <row r="94" spans="1:20" ht="38.25">
      <c r="A94" s="155">
        <v>56</v>
      </c>
      <c r="B94" s="172" t="s">
        <v>183</v>
      </c>
      <c r="C94" s="173" t="s">
        <v>317</v>
      </c>
      <c r="D94" s="174" t="s">
        <v>497</v>
      </c>
      <c r="E94" s="156" t="s">
        <v>216</v>
      </c>
      <c r="F94" s="159">
        <v>6.35</v>
      </c>
      <c r="G94" s="156">
        <v>40</v>
      </c>
      <c r="H94" s="156">
        <v>0</v>
      </c>
      <c r="I94" s="156">
        <v>0</v>
      </c>
      <c r="J94" s="156">
        <v>0</v>
      </c>
      <c r="K94" s="156">
        <f t="shared" si="23"/>
        <v>40</v>
      </c>
      <c r="L94" s="160">
        <f t="shared" si="24"/>
        <v>254</v>
      </c>
      <c r="M94" s="160">
        <f t="shared" si="24"/>
        <v>0</v>
      </c>
      <c r="N94" s="160">
        <f t="shared" si="24"/>
        <v>0</v>
      </c>
      <c r="O94" s="160">
        <f t="shared" si="22"/>
        <v>0</v>
      </c>
      <c r="P94" s="160">
        <f t="shared" si="25"/>
        <v>254</v>
      </c>
      <c r="Q94" s="161"/>
      <c r="R94" s="136"/>
      <c r="S94" s="108" t="str">
        <f t="shared" si="26"/>
        <v>Materiais e EPIs/EPCs (sob demanda)</v>
      </c>
      <c r="T94" s="110"/>
    </row>
    <row r="95" spans="1:20" ht="25.5">
      <c r="A95" s="155">
        <v>57</v>
      </c>
      <c r="B95" s="172" t="s">
        <v>183</v>
      </c>
      <c r="C95" s="173" t="s">
        <v>319</v>
      </c>
      <c r="D95" s="174" t="s">
        <v>498</v>
      </c>
      <c r="E95" s="156" t="s">
        <v>216</v>
      </c>
      <c r="F95" s="159">
        <v>32.18</v>
      </c>
      <c r="G95" s="156">
        <v>40</v>
      </c>
      <c r="H95" s="156">
        <v>0</v>
      </c>
      <c r="I95" s="156">
        <v>0</v>
      </c>
      <c r="J95" s="156">
        <v>0</v>
      </c>
      <c r="K95" s="156">
        <f t="shared" si="23"/>
        <v>40</v>
      </c>
      <c r="L95" s="160">
        <f t="shared" si="24"/>
        <v>1287.2</v>
      </c>
      <c r="M95" s="160">
        <f t="shared" ref="M95" si="27">$F95*H95</f>
        <v>0</v>
      </c>
      <c r="N95" s="160">
        <f t="shared" ref="N95" si="28">$F95*I95</f>
        <v>0</v>
      </c>
      <c r="O95" s="160">
        <f t="shared" ref="O95" si="29">$F95*J95</f>
        <v>0</v>
      </c>
      <c r="P95" s="160">
        <f t="shared" si="25"/>
        <v>1287.2</v>
      </c>
      <c r="Q95" s="161"/>
      <c r="R95" s="136"/>
      <c r="T95" s="110"/>
    </row>
    <row r="96" spans="1:20" ht="38.25">
      <c r="A96" s="155">
        <v>58</v>
      </c>
      <c r="B96" s="172" t="s">
        <v>183</v>
      </c>
      <c r="C96" s="173" t="s">
        <v>320</v>
      </c>
      <c r="D96" s="174" t="s">
        <v>498</v>
      </c>
      <c r="E96" s="156" t="s">
        <v>216</v>
      </c>
      <c r="F96" s="159">
        <v>43.58</v>
      </c>
      <c r="G96" s="156">
        <v>40</v>
      </c>
      <c r="H96" s="156">
        <v>0</v>
      </c>
      <c r="I96" s="156">
        <v>0</v>
      </c>
      <c r="J96" s="156">
        <v>0</v>
      </c>
      <c r="K96" s="156">
        <f t="shared" si="23"/>
        <v>40</v>
      </c>
      <c r="L96" s="160">
        <f t="shared" si="24"/>
        <v>1743.1999999999998</v>
      </c>
      <c r="M96" s="160">
        <f t="shared" si="24"/>
        <v>0</v>
      </c>
      <c r="N96" s="160">
        <f t="shared" si="24"/>
        <v>0</v>
      </c>
      <c r="O96" s="160">
        <f t="shared" si="22"/>
        <v>0</v>
      </c>
      <c r="P96" s="160">
        <f t="shared" si="25"/>
        <v>1743.1999999999998</v>
      </c>
      <c r="Q96" s="161"/>
      <c r="R96" s="136"/>
      <c r="S96" s="108" t="str">
        <f t="shared" si="26"/>
        <v>Materiais e EPIs/EPCs (sob demanda)</v>
      </c>
      <c r="T96" s="110"/>
    </row>
    <row r="97" spans="1:20" ht="38.25">
      <c r="A97" s="155">
        <v>59</v>
      </c>
      <c r="B97" s="172" t="s">
        <v>183</v>
      </c>
      <c r="C97" s="173" t="s">
        <v>322</v>
      </c>
      <c r="D97" s="174" t="s">
        <v>499</v>
      </c>
      <c r="E97" s="156" t="s">
        <v>216</v>
      </c>
      <c r="F97" s="159">
        <v>15.82</v>
      </c>
      <c r="G97" s="156">
        <v>144</v>
      </c>
      <c r="H97" s="156">
        <v>0</v>
      </c>
      <c r="I97" s="156">
        <v>0</v>
      </c>
      <c r="J97" s="156">
        <v>0</v>
      </c>
      <c r="K97" s="156">
        <f t="shared" si="23"/>
        <v>144</v>
      </c>
      <c r="L97" s="160">
        <f t="shared" si="24"/>
        <v>2278.08</v>
      </c>
      <c r="M97" s="160">
        <f t="shared" si="24"/>
        <v>0</v>
      </c>
      <c r="N97" s="160">
        <f t="shared" si="24"/>
        <v>0</v>
      </c>
      <c r="O97" s="160">
        <f t="shared" si="22"/>
        <v>0</v>
      </c>
      <c r="P97" s="160">
        <f t="shared" si="25"/>
        <v>2278.08</v>
      </c>
      <c r="Q97" s="161"/>
      <c r="R97" s="136"/>
      <c r="S97" s="108" t="str">
        <f t="shared" si="26"/>
        <v>Materiais e EPIs/EPCs (sob demanda)</v>
      </c>
      <c r="T97" s="110"/>
    </row>
    <row r="98" spans="1:20" ht="51">
      <c r="A98" s="155">
        <v>60</v>
      </c>
      <c r="B98" s="172" t="s">
        <v>500</v>
      </c>
      <c r="C98" s="173" t="s">
        <v>324</v>
      </c>
      <c r="D98" s="192" t="s">
        <v>501</v>
      </c>
      <c r="E98" s="156" t="s">
        <v>502</v>
      </c>
      <c r="F98" s="178">
        <v>15.61</v>
      </c>
      <c r="G98" s="156">
        <v>12</v>
      </c>
      <c r="H98" s="156">
        <v>0</v>
      </c>
      <c r="I98" s="156">
        <v>0</v>
      </c>
      <c r="J98" s="156">
        <v>0</v>
      </c>
      <c r="K98" s="156">
        <f t="shared" si="23"/>
        <v>12</v>
      </c>
      <c r="L98" s="160">
        <f t="shared" si="24"/>
        <v>187.32</v>
      </c>
      <c r="M98" s="160">
        <f t="shared" si="24"/>
        <v>0</v>
      </c>
      <c r="N98" s="160">
        <f t="shared" si="24"/>
        <v>0</v>
      </c>
      <c r="O98" s="160">
        <f t="shared" si="22"/>
        <v>0</v>
      </c>
      <c r="P98" s="160">
        <f t="shared" si="25"/>
        <v>187.32</v>
      </c>
      <c r="Q98" s="161"/>
      <c r="R98" s="136"/>
      <c r="T98" s="110"/>
    </row>
    <row r="99" spans="1:20" ht="153">
      <c r="A99" s="155">
        <v>61</v>
      </c>
      <c r="B99" s="172" t="s">
        <v>500</v>
      </c>
      <c r="C99" s="173" t="s">
        <v>325</v>
      </c>
      <c r="D99" s="189" t="s">
        <v>503</v>
      </c>
      <c r="E99" s="156" t="s">
        <v>504</v>
      </c>
      <c r="F99" s="178">
        <v>6.72</v>
      </c>
      <c r="G99" s="156">
        <v>360</v>
      </c>
      <c r="H99" s="156">
        <v>0</v>
      </c>
      <c r="I99" s="156">
        <v>0</v>
      </c>
      <c r="J99" s="156">
        <v>0</v>
      </c>
      <c r="K99" s="156">
        <f t="shared" si="23"/>
        <v>360</v>
      </c>
      <c r="L99" s="160">
        <f>$F99*G99</f>
        <v>2419.1999999999998</v>
      </c>
      <c r="M99" s="160">
        <f t="shared" si="24"/>
        <v>0</v>
      </c>
      <c r="N99" s="160">
        <f t="shared" si="24"/>
        <v>0</v>
      </c>
      <c r="O99" s="160">
        <f t="shared" si="22"/>
        <v>0</v>
      </c>
      <c r="P99" s="160">
        <f t="shared" si="25"/>
        <v>2419.1999999999998</v>
      </c>
      <c r="Q99" s="161"/>
      <c r="R99" s="136"/>
      <c r="T99" s="110"/>
    </row>
    <row r="100" spans="1:20" ht="114.75">
      <c r="A100" s="155">
        <v>62</v>
      </c>
      <c r="B100" s="172" t="s">
        <v>500</v>
      </c>
      <c r="C100" s="173" t="s">
        <v>326</v>
      </c>
      <c r="D100" s="193" t="s">
        <v>505</v>
      </c>
      <c r="E100" s="156" t="s">
        <v>506</v>
      </c>
      <c r="F100" s="178">
        <v>73.430000000000007</v>
      </c>
      <c r="G100" s="156">
        <v>14</v>
      </c>
      <c r="H100" s="156">
        <v>0</v>
      </c>
      <c r="I100" s="156">
        <v>0</v>
      </c>
      <c r="J100" s="156">
        <v>0</v>
      </c>
      <c r="K100" s="156">
        <f t="shared" si="23"/>
        <v>14</v>
      </c>
      <c r="L100" s="160">
        <f t="shared" ref="L100" si="30">$F100*G100</f>
        <v>1028.02</v>
      </c>
      <c r="M100" s="160">
        <f t="shared" si="24"/>
        <v>0</v>
      </c>
      <c r="N100" s="160">
        <f t="shared" si="24"/>
        <v>0</v>
      </c>
      <c r="O100" s="160">
        <f t="shared" si="22"/>
        <v>0</v>
      </c>
      <c r="P100" s="160">
        <f t="shared" si="25"/>
        <v>1028.02</v>
      </c>
      <c r="Q100" s="161"/>
      <c r="R100" s="136"/>
      <c r="T100" s="110"/>
    </row>
    <row r="101" spans="1:20" ht="178.5">
      <c r="A101" s="155">
        <v>63</v>
      </c>
      <c r="B101" s="172" t="s">
        <v>500</v>
      </c>
      <c r="C101" s="173" t="s">
        <v>327</v>
      </c>
      <c r="D101" s="174" t="s">
        <v>507</v>
      </c>
      <c r="E101" s="156" t="s">
        <v>502</v>
      </c>
      <c r="F101" s="159">
        <v>16.02</v>
      </c>
      <c r="G101" s="156">
        <v>24</v>
      </c>
      <c r="H101" s="156">
        <v>0</v>
      </c>
      <c r="I101" s="156">
        <v>0</v>
      </c>
      <c r="J101" s="156">
        <v>0</v>
      </c>
      <c r="K101" s="156">
        <f t="shared" si="23"/>
        <v>24</v>
      </c>
      <c r="L101" s="160">
        <f t="shared" si="24"/>
        <v>384.48</v>
      </c>
      <c r="M101" s="160">
        <f t="shared" si="24"/>
        <v>0</v>
      </c>
      <c r="N101" s="160">
        <f t="shared" si="24"/>
        <v>0</v>
      </c>
      <c r="O101" s="160">
        <f t="shared" si="22"/>
        <v>0</v>
      </c>
      <c r="P101" s="160">
        <f t="shared" si="25"/>
        <v>384.48</v>
      </c>
      <c r="Q101" s="161"/>
      <c r="R101" s="136"/>
      <c r="S101" s="108" t="str">
        <f t="shared" si="26"/>
        <v>Materiais e EPIs/EPCs (sob demanda)</v>
      </c>
      <c r="T101" s="110"/>
    </row>
    <row r="102" spans="1:20" ht="191.25">
      <c r="A102" s="155">
        <v>64</v>
      </c>
      <c r="B102" s="172" t="s">
        <v>500</v>
      </c>
      <c r="C102" s="173" t="s">
        <v>328</v>
      </c>
      <c r="D102" s="174" t="s">
        <v>508</v>
      </c>
      <c r="E102" s="156" t="s">
        <v>506</v>
      </c>
      <c r="F102" s="159">
        <v>33.049999999999997</v>
      </c>
      <c r="G102" s="156">
        <v>11</v>
      </c>
      <c r="H102" s="156">
        <v>2</v>
      </c>
      <c r="I102" s="156">
        <v>1</v>
      </c>
      <c r="J102" s="156">
        <v>0</v>
      </c>
      <c r="K102" s="156">
        <f t="shared" si="23"/>
        <v>14</v>
      </c>
      <c r="L102" s="160">
        <f t="shared" si="24"/>
        <v>363.54999999999995</v>
      </c>
      <c r="M102" s="160">
        <f t="shared" si="24"/>
        <v>66.099999999999994</v>
      </c>
      <c r="N102" s="160">
        <f t="shared" si="24"/>
        <v>33.049999999999997</v>
      </c>
      <c r="O102" s="160">
        <f t="shared" si="22"/>
        <v>0</v>
      </c>
      <c r="P102" s="160">
        <f t="shared" si="25"/>
        <v>462.7</v>
      </c>
      <c r="Q102" s="161"/>
      <c r="R102" s="136"/>
      <c r="S102" s="108" t="str">
        <f t="shared" si="26"/>
        <v>Materiais e EPIs/EPCs (sob demanda)</v>
      </c>
      <c r="T102" s="110"/>
    </row>
    <row r="103" spans="1:20" ht="178.5">
      <c r="A103" s="155">
        <v>65</v>
      </c>
      <c r="B103" s="172" t="s">
        <v>500</v>
      </c>
      <c r="C103" s="173" t="s">
        <v>329</v>
      </c>
      <c r="D103" s="174" t="s">
        <v>508</v>
      </c>
      <c r="E103" s="156" t="s">
        <v>506</v>
      </c>
      <c r="F103" s="159">
        <v>37.58</v>
      </c>
      <c r="G103" s="156">
        <v>11</v>
      </c>
      <c r="H103" s="156">
        <v>2</v>
      </c>
      <c r="I103" s="156">
        <v>1</v>
      </c>
      <c r="J103" s="156">
        <v>0</v>
      </c>
      <c r="K103" s="156">
        <f t="shared" si="23"/>
        <v>14</v>
      </c>
      <c r="L103" s="160">
        <f t="shared" si="24"/>
        <v>413.38</v>
      </c>
      <c r="M103" s="160">
        <f t="shared" si="24"/>
        <v>75.16</v>
      </c>
      <c r="N103" s="160">
        <f t="shared" si="24"/>
        <v>37.58</v>
      </c>
      <c r="O103" s="160">
        <f t="shared" si="22"/>
        <v>0</v>
      </c>
      <c r="P103" s="160">
        <f t="shared" si="25"/>
        <v>526.12</v>
      </c>
      <c r="Q103" s="161"/>
      <c r="R103" s="136"/>
      <c r="S103" s="108" t="str">
        <f t="shared" si="26"/>
        <v>Materiais e EPIs/EPCs (sob demanda)</v>
      </c>
      <c r="T103" s="110"/>
    </row>
    <row r="104" spans="1:20" ht="114.75">
      <c r="A104" s="155">
        <v>66</v>
      </c>
      <c r="B104" s="172" t="s">
        <v>500</v>
      </c>
      <c r="C104" s="173" t="s">
        <v>331</v>
      </c>
      <c r="D104" s="174" t="s">
        <v>509</v>
      </c>
      <c r="E104" s="156" t="s">
        <v>502</v>
      </c>
      <c r="F104" s="159">
        <v>19.75</v>
      </c>
      <c r="G104" s="156">
        <v>11</v>
      </c>
      <c r="H104" s="156">
        <v>2</v>
      </c>
      <c r="I104" s="156">
        <v>1</v>
      </c>
      <c r="J104" s="156">
        <v>0</v>
      </c>
      <c r="K104" s="156">
        <f t="shared" si="23"/>
        <v>14</v>
      </c>
      <c r="L104" s="160">
        <f t="shared" si="24"/>
        <v>217.25</v>
      </c>
      <c r="M104" s="160">
        <f t="shared" si="24"/>
        <v>39.5</v>
      </c>
      <c r="N104" s="160">
        <f t="shared" si="24"/>
        <v>19.75</v>
      </c>
      <c r="O104" s="160">
        <f t="shared" si="22"/>
        <v>0</v>
      </c>
      <c r="P104" s="160">
        <f t="shared" si="25"/>
        <v>276.5</v>
      </c>
      <c r="Q104" s="161"/>
      <c r="R104" s="136"/>
      <c r="S104" s="108" t="str">
        <f t="shared" si="26"/>
        <v>Materiais e EPIs/EPCs (sob demanda)</v>
      </c>
      <c r="T104" s="110"/>
    </row>
    <row r="105" spans="1:20" ht="51">
      <c r="A105" s="155">
        <v>67</v>
      </c>
      <c r="B105" s="172" t="s">
        <v>500</v>
      </c>
      <c r="C105" s="173" t="s">
        <v>332</v>
      </c>
      <c r="D105" s="174" t="s">
        <v>503</v>
      </c>
      <c r="E105" s="156" t="s">
        <v>502</v>
      </c>
      <c r="F105" s="159">
        <v>30.9</v>
      </c>
      <c r="G105" s="156">
        <v>12</v>
      </c>
      <c r="H105" s="156">
        <v>0</v>
      </c>
      <c r="I105" s="156">
        <v>0</v>
      </c>
      <c r="J105" s="156">
        <v>0</v>
      </c>
      <c r="K105" s="156">
        <f t="shared" si="23"/>
        <v>12</v>
      </c>
      <c r="L105" s="160">
        <f t="shared" si="24"/>
        <v>370.79999999999995</v>
      </c>
      <c r="M105" s="160">
        <f t="shared" si="24"/>
        <v>0</v>
      </c>
      <c r="N105" s="160">
        <f t="shared" si="24"/>
        <v>0</v>
      </c>
      <c r="O105" s="160">
        <f t="shared" si="22"/>
        <v>0</v>
      </c>
      <c r="P105" s="160">
        <f t="shared" si="25"/>
        <v>370.79999999999995</v>
      </c>
      <c r="Q105" s="161"/>
      <c r="R105" s="136"/>
      <c r="S105" s="108" t="str">
        <f t="shared" si="26"/>
        <v>Materiais e EPIs/EPCs (sob demanda)</v>
      </c>
      <c r="T105" s="110"/>
    </row>
    <row r="106" spans="1:20" ht="114.75">
      <c r="A106" s="155">
        <v>68</v>
      </c>
      <c r="B106" s="172" t="s">
        <v>500</v>
      </c>
      <c r="C106" s="173" t="s">
        <v>333</v>
      </c>
      <c r="D106" s="174" t="s">
        <v>510</v>
      </c>
      <c r="E106" s="156" t="s">
        <v>511</v>
      </c>
      <c r="F106" s="159">
        <v>69.180000000000007</v>
      </c>
      <c r="G106" s="156">
        <v>48</v>
      </c>
      <c r="H106" s="156">
        <v>0</v>
      </c>
      <c r="I106" s="156">
        <v>0</v>
      </c>
      <c r="J106" s="156">
        <v>0</v>
      </c>
      <c r="K106" s="156">
        <f t="shared" si="23"/>
        <v>48</v>
      </c>
      <c r="L106" s="160">
        <f t="shared" si="24"/>
        <v>3320.6400000000003</v>
      </c>
      <c r="M106" s="160">
        <f t="shared" si="24"/>
        <v>0</v>
      </c>
      <c r="N106" s="160">
        <f t="shared" si="24"/>
        <v>0</v>
      </c>
      <c r="O106" s="160">
        <f t="shared" si="22"/>
        <v>0</v>
      </c>
      <c r="P106" s="160">
        <f t="shared" si="25"/>
        <v>3320.6400000000003</v>
      </c>
      <c r="Q106" s="161"/>
      <c r="R106" s="136"/>
      <c r="S106" s="108" t="str">
        <f t="shared" si="26"/>
        <v>Materiais e EPIs/EPCs (sob demanda)</v>
      </c>
      <c r="T106" s="110"/>
    </row>
    <row r="107" spans="1:20" ht="127.5">
      <c r="A107" s="155">
        <v>69</v>
      </c>
      <c r="B107" s="172" t="s">
        <v>500</v>
      </c>
      <c r="C107" s="173" t="s">
        <v>334</v>
      </c>
      <c r="D107" s="174" t="s">
        <v>505</v>
      </c>
      <c r="E107" s="156" t="s">
        <v>512</v>
      </c>
      <c r="F107" s="159">
        <v>12.85</v>
      </c>
      <c r="G107" s="156">
        <v>48</v>
      </c>
      <c r="H107" s="156">
        <v>0</v>
      </c>
      <c r="I107" s="156"/>
      <c r="J107" s="156">
        <v>0</v>
      </c>
      <c r="K107" s="156">
        <f t="shared" si="23"/>
        <v>48</v>
      </c>
      <c r="L107" s="160">
        <f t="shared" si="24"/>
        <v>616.79999999999995</v>
      </c>
      <c r="M107" s="160">
        <f t="shared" si="24"/>
        <v>0</v>
      </c>
      <c r="N107" s="160">
        <f t="shared" si="24"/>
        <v>0</v>
      </c>
      <c r="O107" s="160">
        <f t="shared" si="22"/>
        <v>0</v>
      </c>
      <c r="P107" s="160">
        <f t="shared" si="25"/>
        <v>616.79999999999995</v>
      </c>
      <c r="Q107" s="161"/>
      <c r="R107" s="136"/>
      <c r="S107" s="108" t="str">
        <f t="shared" si="26"/>
        <v>Materiais e EPIs/EPCs (sob demanda)</v>
      </c>
      <c r="T107" s="110"/>
    </row>
    <row r="108" spans="1:20" ht="178.5">
      <c r="A108" s="155">
        <v>70</v>
      </c>
      <c r="B108" s="172" t="s">
        <v>500</v>
      </c>
      <c r="C108" s="173" t="s">
        <v>336</v>
      </c>
      <c r="D108" s="174" t="s">
        <v>513</v>
      </c>
      <c r="E108" s="156" t="s">
        <v>514</v>
      </c>
      <c r="F108" s="159">
        <v>13.82</v>
      </c>
      <c r="G108" s="156">
        <v>48</v>
      </c>
      <c r="H108" s="156">
        <v>0</v>
      </c>
      <c r="I108" s="156">
        <v>0</v>
      </c>
      <c r="J108" s="156">
        <v>0</v>
      </c>
      <c r="K108" s="156">
        <f t="shared" si="23"/>
        <v>48</v>
      </c>
      <c r="L108" s="160">
        <f t="shared" si="24"/>
        <v>663.36</v>
      </c>
      <c r="M108" s="160">
        <f t="shared" si="24"/>
        <v>0</v>
      </c>
      <c r="N108" s="160">
        <f t="shared" si="24"/>
        <v>0</v>
      </c>
      <c r="O108" s="160">
        <f t="shared" si="22"/>
        <v>0</v>
      </c>
      <c r="P108" s="160">
        <f t="shared" si="25"/>
        <v>663.36</v>
      </c>
      <c r="Q108" s="161"/>
      <c r="R108" s="136"/>
      <c r="S108" s="108" t="str">
        <f t="shared" si="26"/>
        <v>Materiais e EPIs/EPCs (sob demanda)</v>
      </c>
      <c r="T108" s="110"/>
    </row>
    <row r="109" spans="1:20" ht="153">
      <c r="A109" s="155">
        <v>71</v>
      </c>
      <c r="B109" s="172" t="s">
        <v>500</v>
      </c>
      <c r="C109" s="173" t="s">
        <v>339</v>
      </c>
      <c r="D109" s="174" t="s">
        <v>515</v>
      </c>
      <c r="E109" s="156" t="s">
        <v>502</v>
      </c>
      <c r="F109" s="159">
        <v>6.41</v>
      </c>
      <c r="G109" s="156">
        <v>6</v>
      </c>
      <c r="H109" s="156">
        <v>0</v>
      </c>
      <c r="I109" s="156">
        <v>0</v>
      </c>
      <c r="J109" s="156">
        <v>0</v>
      </c>
      <c r="K109" s="156">
        <f t="shared" si="23"/>
        <v>6</v>
      </c>
      <c r="L109" s="160">
        <f t="shared" si="24"/>
        <v>38.46</v>
      </c>
      <c r="M109" s="160">
        <f t="shared" si="24"/>
        <v>0</v>
      </c>
      <c r="N109" s="160">
        <f t="shared" si="24"/>
        <v>0</v>
      </c>
      <c r="O109" s="160">
        <f t="shared" si="22"/>
        <v>0</v>
      </c>
      <c r="P109" s="160">
        <f t="shared" si="25"/>
        <v>38.46</v>
      </c>
      <c r="Q109" s="161"/>
      <c r="R109" s="136"/>
      <c r="S109" s="108" t="str">
        <f t="shared" si="26"/>
        <v>Materiais e EPIs/EPCs (sob demanda)</v>
      </c>
      <c r="T109" s="110"/>
    </row>
    <row r="110" spans="1:20" ht="102">
      <c r="A110" s="155">
        <v>72</v>
      </c>
      <c r="B110" s="172" t="s">
        <v>500</v>
      </c>
      <c r="C110" s="173" t="s">
        <v>341</v>
      </c>
      <c r="D110" s="174" t="s">
        <v>516</v>
      </c>
      <c r="E110" s="156" t="s">
        <v>502</v>
      </c>
      <c r="F110" s="159">
        <v>45.17</v>
      </c>
      <c r="G110" s="156">
        <v>10</v>
      </c>
      <c r="H110" s="156">
        <v>0</v>
      </c>
      <c r="I110" s="156">
        <v>0</v>
      </c>
      <c r="J110" s="156">
        <v>0</v>
      </c>
      <c r="K110" s="156">
        <f t="shared" si="23"/>
        <v>10</v>
      </c>
      <c r="L110" s="160">
        <f t="shared" si="24"/>
        <v>451.70000000000005</v>
      </c>
      <c r="M110" s="160">
        <f t="shared" si="24"/>
        <v>0</v>
      </c>
      <c r="N110" s="160">
        <f t="shared" si="24"/>
        <v>0</v>
      </c>
      <c r="O110" s="160">
        <f t="shared" si="22"/>
        <v>0</v>
      </c>
      <c r="P110" s="160">
        <f t="shared" si="25"/>
        <v>451.70000000000005</v>
      </c>
      <c r="Q110" s="161"/>
      <c r="R110" s="136"/>
      <c r="S110" s="108" t="str">
        <f t="shared" si="26"/>
        <v>Materiais e EPIs/EPCs (sob demanda)</v>
      </c>
      <c r="T110" s="110"/>
    </row>
    <row r="111" spans="1:20" ht="140.25">
      <c r="A111" s="155">
        <v>73</v>
      </c>
      <c r="B111" s="172" t="s">
        <v>500</v>
      </c>
      <c r="C111" s="173" t="s">
        <v>344</v>
      </c>
      <c r="D111" s="174" t="s">
        <v>517</v>
      </c>
      <c r="E111" s="156" t="s">
        <v>502</v>
      </c>
      <c r="F111" s="159">
        <v>22.26</v>
      </c>
      <c r="G111" s="156">
        <v>6</v>
      </c>
      <c r="H111" s="156">
        <v>0</v>
      </c>
      <c r="I111" s="156">
        <v>0</v>
      </c>
      <c r="J111" s="156">
        <v>0</v>
      </c>
      <c r="K111" s="156">
        <f t="shared" si="23"/>
        <v>6</v>
      </c>
      <c r="L111" s="160">
        <f t="shared" si="24"/>
        <v>133.56</v>
      </c>
      <c r="M111" s="160">
        <f t="shared" si="24"/>
        <v>0</v>
      </c>
      <c r="N111" s="160">
        <f t="shared" si="24"/>
        <v>0</v>
      </c>
      <c r="O111" s="160">
        <f t="shared" si="22"/>
        <v>0</v>
      </c>
      <c r="P111" s="160">
        <f t="shared" si="25"/>
        <v>133.56</v>
      </c>
      <c r="Q111" s="161"/>
      <c r="R111" s="136"/>
      <c r="S111" s="108" t="str">
        <f t="shared" si="26"/>
        <v>Materiais e EPIs/EPCs (sob demanda)</v>
      </c>
      <c r="T111" s="110"/>
    </row>
    <row r="112" spans="1:20" ht="255">
      <c r="A112" s="155">
        <v>74</v>
      </c>
      <c r="B112" s="172" t="s">
        <v>500</v>
      </c>
      <c r="C112" s="173" t="s">
        <v>345</v>
      </c>
      <c r="D112" s="174" t="s">
        <v>518</v>
      </c>
      <c r="E112" s="156" t="s">
        <v>502</v>
      </c>
      <c r="F112" s="159">
        <v>1.78</v>
      </c>
      <c r="G112" s="156">
        <v>10</v>
      </c>
      <c r="H112" s="156">
        <v>0</v>
      </c>
      <c r="I112" s="156">
        <v>0</v>
      </c>
      <c r="J112" s="156">
        <v>0</v>
      </c>
      <c r="K112" s="156">
        <f t="shared" si="23"/>
        <v>10</v>
      </c>
      <c r="L112" s="160">
        <f t="shared" si="24"/>
        <v>17.8</v>
      </c>
      <c r="M112" s="160">
        <f t="shared" si="24"/>
        <v>0</v>
      </c>
      <c r="N112" s="160">
        <f t="shared" si="24"/>
        <v>0</v>
      </c>
      <c r="O112" s="160">
        <f t="shared" si="22"/>
        <v>0</v>
      </c>
      <c r="P112" s="160">
        <f t="shared" si="25"/>
        <v>17.8</v>
      </c>
      <c r="Q112" s="161"/>
      <c r="R112" s="136"/>
      <c r="S112" s="108" t="str">
        <f t="shared" si="26"/>
        <v>Materiais e EPIs/EPCs (sob demanda)</v>
      </c>
      <c r="T112" s="110"/>
    </row>
    <row r="113" spans="1:37">
      <c r="A113" s="259" t="e">
        <f>CONCATENATE("Custo anual dos ",#REF!," (R$)")</f>
        <v>#REF!</v>
      </c>
      <c r="B113" s="260"/>
      <c r="C113" s="260"/>
      <c r="D113" s="260"/>
      <c r="E113" s="260"/>
      <c r="F113" s="260"/>
      <c r="G113" s="260"/>
      <c r="H113" s="260"/>
      <c r="I113" s="260"/>
      <c r="J113" s="260"/>
      <c r="K113" s="261"/>
      <c r="L113" s="166">
        <f>SUM(L39:L112)</f>
        <v>150410.03999999995</v>
      </c>
      <c r="M113" s="166">
        <f>SUM(M40:M112)</f>
        <v>180.76</v>
      </c>
      <c r="N113" s="166">
        <f>SUM(N40:N112)</f>
        <v>90.38</v>
      </c>
      <c r="O113" s="166">
        <f>SUM(O40:O112)</f>
        <v>0</v>
      </c>
      <c r="P113" s="166">
        <f>SUM(P39:P112)</f>
        <v>150681.17999999996</v>
      </c>
      <c r="Q113" s="153"/>
      <c r="R113" s="136"/>
      <c r="T113" s="110"/>
    </row>
    <row r="114" spans="1:37">
      <c r="A114" s="259" t="e">
        <f>CONCATENATE("Custo mensal dos ",#REF!," (R$)")</f>
        <v>#REF!</v>
      </c>
      <c r="B114" s="260"/>
      <c r="C114" s="260"/>
      <c r="D114" s="260"/>
      <c r="E114" s="260"/>
      <c r="F114" s="260"/>
      <c r="G114" s="260"/>
      <c r="H114" s="260"/>
      <c r="I114" s="260"/>
      <c r="J114" s="260"/>
      <c r="K114" s="261"/>
      <c r="L114" s="166">
        <f>L113/12</f>
        <v>12534.169999999996</v>
      </c>
      <c r="M114" s="166">
        <f t="shared" ref="M114:P114" si="31">M113/12</f>
        <v>15.063333333333333</v>
      </c>
      <c r="N114" s="166">
        <f t="shared" si="31"/>
        <v>7.5316666666666663</v>
      </c>
      <c r="O114" s="166">
        <f t="shared" si="31"/>
        <v>0</v>
      </c>
      <c r="P114" s="166">
        <f t="shared" si="31"/>
        <v>12556.764999999998</v>
      </c>
      <c r="Q114" s="153"/>
      <c r="R114" s="136"/>
      <c r="T114" s="110"/>
    </row>
    <row r="115" spans="1:37">
      <c r="A115" s="259" t="e">
        <f>CONCATENATE("Custo mensal dos ",#REF!," por posto (R$)")</f>
        <v>#REF!</v>
      </c>
      <c r="B115" s="260"/>
      <c r="C115" s="260"/>
      <c r="D115" s="260"/>
      <c r="E115" s="260"/>
      <c r="F115" s="260"/>
      <c r="G115" s="260"/>
      <c r="H115" s="260"/>
      <c r="I115" s="260"/>
      <c r="J115" s="260"/>
      <c r="K115" s="261"/>
      <c r="L115" s="167">
        <f>IF(ISERR(ROUND(L114/$S$9,2)),0,ROUND(L114/$S$9,2))</f>
        <v>1139.47</v>
      </c>
      <c r="M115" s="167">
        <f>IF(ISERR(ROUND(M114/$S$10,2)),0,ROUND(M114/$S$10,2))</f>
        <v>7.53</v>
      </c>
      <c r="N115" s="167">
        <f>IF(ISERR(ROUND(N114/$S$11,2)),0,ROUND(N114/$S$11,2))</f>
        <v>7.53</v>
      </c>
      <c r="O115" s="167">
        <f>IF(ISERR(ROUND(O114/$S$12,2)),0,ROUND(O114/$S$12,2))</f>
        <v>0</v>
      </c>
      <c r="P115" s="168" t="s">
        <v>22</v>
      </c>
      <c r="Q115" s="169"/>
      <c r="R115" s="136"/>
      <c r="T115" s="110"/>
    </row>
    <row r="116" spans="1:37">
      <c r="A116" s="170"/>
      <c r="B116" s="170"/>
      <c r="C116" s="170"/>
      <c r="D116" s="170"/>
      <c r="E116" s="170"/>
      <c r="F116" s="170"/>
      <c r="G116" s="170"/>
      <c r="H116" s="170"/>
      <c r="I116" s="170"/>
      <c r="J116" s="170"/>
      <c r="K116" s="170"/>
      <c r="L116" s="153"/>
      <c r="M116" s="153"/>
      <c r="N116" s="153"/>
      <c r="O116" s="153"/>
      <c r="P116" s="169"/>
      <c r="Q116" s="169"/>
      <c r="R116" s="136"/>
      <c r="T116" s="110"/>
    </row>
    <row r="117" spans="1:37">
      <c r="A117" s="170"/>
      <c r="B117" s="171"/>
      <c r="C117" s="171"/>
      <c r="D117" s="171"/>
      <c r="E117" s="171"/>
      <c r="F117" s="170"/>
      <c r="G117" s="169"/>
      <c r="H117" s="169"/>
      <c r="I117" s="169"/>
      <c r="J117" s="169"/>
      <c r="K117" s="169"/>
      <c r="L117" s="153"/>
      <c r="M117" s="153"/>
      <c r="N117" s="153"/>
      <c r="O117" s="153"/>
      <c r="P117" s="153"/>
      <c r="Q117" s="153"/>
      <c r="R117" s="136"/>
      <c r="T117" s="110"/>
    </row>
    <row r="118" spans="1:37">
      <c r="A118" s="170"/>
      <c r="B118" s="171"/>
      <c r="C118" s="171"/>
      <c r="D118" s="171"/>
      <c r="E118" s="171"/>
      <c r="F118" s="170"/>
      <c r="G118" s="169"/>
      <c r="H118" s="169"/>
      <c r="I118" s="169"/>
      <c r="J118" s="169"/>
      <c r="K118" s="169"/>
      <c r="L118" s="153"/>
      <c r="M118" s="153"/>
      <c r="N118" s="153"/>
      <c r="O118" s="153"/>
      <c r="P118" s="153"/>
      <c r="Q118" s="153"/>
      <c r="R118" s="136"/>
      <c r="T118" s="110"/>
    </row>
    <row r="119" spans="1:37">
      <c r="A119" s="148" t="str">
        <f>D10</f>
        <v>Equipamentos (sob demanda)</v>
      </c>
      <c r="R119" s="136"/>
      <c r="T119" s="110"/>
    </row>
    <row r="120" spans="1:37">
      <c r="R120" s="136"/>
      <c r="T120" s="110"/>
    </row>
    <row r="121" spans="1:37">
      <c r="G121" s="275" t="str">
        <f>G14</f>
        <v>Qtde. anual por tipo de posto</v>
      </c>
      <c r="H121" s="276"/>
      <c r="I121" s="276"/>
      <c r="J121" s="276"/>
      <c r="K121" s="277"/>
      <c r="L121" s="262" t="str">
        <f>L14</f>
        <v>Custo anual por tipo de posto (R$)</v>
      </c>
      <c r="M121" s="263"/>
      <c r="N121" s="263"/>
      <c r="O121" s="263"/>
      <c r="P121" s="264"/>
      <c r="Q121" s="140"/>
      <c r="R121" s="136"/>
      <c r="T121" s="110"/>
    </row>
    <row r="122" spans="1:37" ht="38.25">
      <c r="A122" s="149" t="s">
        <v>2</v>
      </c>
      <c r="B122" s="149" t="s">
        <v>205</v>
      </c>
      <c r="C122" s="149" t="s">
        <v>206</v>
      </c>
      <c r="D122" s="149" t="s">
        <v>207</v>
      </c>
      <c r="E122" s="149" t="s">
        <v>208</v>
      </c>
      <c r="F122" s="151" t="s">
        <v>209</v>
      </c>
      <c r="G122" s="149" t="s">
        <v>210</v>
      </c>
      <c r="H122" s="149" t="s">
        <v>211</v>
      </c>
      <c r="I122" s="149" t="s">
        <v>200</v>
      </c>
      <c r="J122" s="149" t="s">
        <v>202</v>
      </c>
      <c r="K122" s="149" t="s">
        <v>201</v>
      </c>
      <c r="L122" s="175" t="str">
        <f>$G$23</f>
        <v>Serv. limpeza</v>
      </c>
      <c r="M122" s="152" t="str">
        <f>$H$23</f>
        <v>Serv. limpeza insalub.</v>
      </c>
      <c r="N122" s="152" t="str">
        <f>$I$23</f>
        <v>Encarregado</v>
      </c>
      <c r="O122" s="152" t="str">
        <f>$J$23</f>
        <v>Supervisor</v>
      </c>
      <c r="P122" s="152" t="str">
        <f>$K$23</f>
        <v>Total</v>
      </c>
      <c r="Q122" s="153"/>
      <c r="R122" s="136"/>
      <c r="S122" s="154" t="str">
        <f>S$15</f>
        <v>Grupo de insumos</v>
      </c>
      <c r="T122" s="110"/>
      <c r="AB122" s="138"/>
      <c r="AC122" s="138"/>
      <c r="AD122" s="138"/>
      <c r="AE122" s="138"/>
      <c r="AF122" s="138"/>
      <c r="AG122" s="138"/>
      <c r="AH122" s="138"/>
      <c r="AI122" s="138"/>
      <c r="AJ122" s="138"/>
      <c r="AK122" s="138"/>
    </row>
    <row r="123" spans="1:37" ht="140.25">
      <c r="A123" s="155">
        <v>1</v>
      </c>
      <c r="B123" s="156" t="s">
        <v>127</v>
      </c>
      <c r="C123" s="173" t="s">
        <v>350</v>
      </c>
      <c r="D123" s="174" t="s">
        <v>351</v>
      </c>
      <c r="E123" s="156" t="s">
        <v>216</v>
      </c>
      <c r="F123" s="159">
        <v>407.55</v>
      </c>
      <c r="G123" s="156">
        <v>1</v>
      </c>
      <c r="H123" s="156">
        <v>0</v>
      </c>
      <c r="I123" s="156">
        <v>0</v>
      </c>
      <c r="J123" s="156">
        <v>0</v>
      </c>
      <c r="K123" s="156">
        <f>SUM(G123:J123)</f>
        <v>1</v>
      </c>
      <c r="L123" s="176">
        <f t="shared" si="24"/>
        <v>407.55</v>
      </c>
      <c r="M123" s="160">
        <f t="shared" si="24"/>
        <v>0</v>
      </c>
      <c r="N123" s="160">
        <f t="shared" si="24"/>
        <v>0</v>
      </c>
      <c r="O123" s="160">
        <f t="shared" si="24"/>
        <v>0</v>
      </c>
      <c r="P123" s="160">
        <f t="shared" si="25"/>
        <v>407.55</v>
      </c>
      <c r="Q123" s="161"/>
      <c r="R123" s="136"/>
      <c r="S123" s="108" t="str">
        <f>$D$10</f>
        <v>Equipamentos (sob demanda)</v>
      </c>
      <c r="T123" s="162" t="str">
        <f>S123</f>
        <v>Equipamentos (sob demanda)</v>
      </c>
    </row>
    <row r="124" spans="1:37" ht="63.75">
      <c r="A124" s="155">
        <v>2</v>
      </c>
      <c r="B124" s="156" t="s">
        <v>127</v>
      </c>
      <c r="C124" s="173" t="s">
        <v>352</v>
      </c>
      <c r="D124" s="174" t="s">
        <v>226</v>
      </c>
      <c r="E124" s="156" t="s">
        <v>216</v>
      </c>
      <c r="F124" s="159">
        <v>245.77</v>
      </c>
      <c r="G124" s="156">
        <v>1</v>
      </c>
      <c r="H124" s="156">
        <v>0</v>
      </c>
      <c r="I124" s="156">
        <v>0</v>
      </c>
      <c r="J124" s="156">
        <v>0</v>
      </c>
      <c r="K124" s="156">
        <f t="shared" ref="K124:K127" si="32">SUM(G124:J124)</f>
        <v>1</v>
      </c>
      <c r="L124" s="176">
        <f t="shared" ref="L124:O127" si="33">$F124*G124</f>
        <v>245.77</v>
      </c>
      <c r="M124" s="160">
        <f t="shared" si="33"/>
        <v>0</v>
      </c>
      <c r="N124" s="160">
        <f t="shared" si="33"/>
        <v>0</v>
      </c>
      <c r="O124" s="160">
        <f t="shared" si="33"/>
        <v>0</v>
      </c>
      <c r="P124" s="160">
        <f t="shared" ref="P124:P127" si="34">SUM(L124:O124)</f>
        <v>245.77</v>
      </c>
      <c r="Q124" s="161"/>
      <c r="R124" s="136"/>
      <c r="S124" s="108" t="str">
        <f t="shared" ref="S124:S127" si="35">$D$10</f>
        <v>Equipamentos (sob demanda)</v>
      </c>
      <c r="T124" s="110"/>
    </row>
    <row r="125" spans="1:37" ht="38.25">
      <c r="A125" s="155">
        <v>3</v>
      </c>
      <c r="B125" s="156" t="s">
        <v>127</v>
      </c>
      <c r="C125" s="173" t="s">
        <v>354</v>
      </c>
      <c r="D125" s="174" t="s">
        <v>226</v>
      </c>
      <c r="E125" s="156" t="s">
        <v>216</v>
      </c>
      <c r="F125" s="159">
        <v>235.59</v>
      </c>
      <c r="G125" s="156">
        <v>1</v>
      </c>
      <c r="H125" s="156">
        <v>0</v>
      </c>
      <c r="I125" s="156">
        <v>0</v>
      </c>
      <c r="J125" s="156">
        <v>0</v>
      </c>
      <c r="K125" s="156">
        <f t="shared" si="32"/>
        <v>1</v>
      </c>
      <c r="L125" s="176">
        <f t="shared" si="33"/>
        <v>235.59</v>
      </c>
      <c r="M125" s="160">
        <f t="shared" si="33"/>
        <v>0</v>
      </c>
      <c r="N125" s="160">
        <f t="shared" si="33"/>
        <v>0</v>
      </c>
      <c r="O125" s="160">
        <f t="shared" si="33"/>
        <v>0</v>
      </c>
      <c r="P125" s="160">
        <f t="shared" si="34"/>
        <v>235.59</v>
      </c>
      <c r="Q125" s="161"/>
      <c r="R125" s="136"/>
      <c r="S125" s="108" t="str">
        <f t="shared" si="35"/>
        <v>Equipamentos (sob demanda)</v>
      </c>
      <c r="T125" s="110"/>
    </row>
    <row r="126" spans="1:37" ht="165.75">
      <c r="A126" s="155">
        <v>4</v>
      </c>
      <c r="B126" s="156" t="s">
        <v>127</v>
      </c>
      <c r="C126" s="173" t="s">
        <v>355</v>
      </c>
      <c r="D126" s="174" t="s">
        <v>519</v>
      </c>
      <c r="E126" s="156" t="s">
        <v>216</v>
      </c>
      <c r="F126" s="159">
        <v>1236.31</v>
      </c>
      <c r="G126" s="156">
        <v>1</v>
      </c>
      <c r="H126" s="156">
        <v>0</v>
      </c>
      <c r="I126" s="156">
        <v>0</v>
      </c>
      <c r="J126" s="156">
        <v>0</v>
      </c>
      <c r="K126" s="156">
        <f t="shared" si="32"/>
        <v>1</v>
      </c>
      <c r="L126" s="176">
        <f t="shared" si="33"/>
        <v>1236.31</v>
      </c>
      <c r="M126" s="160">
        <f t="shared" si="33"/>
        <v>0</v>
      </c>
      <c r="N126" s="160">
        <f t="shared" si="33"/>
        <v>0</v>
      </c>
      <c r="O126" s="160">
        <f t="shared" si="33"/>
        <v>0</v>
      </c>
      <c r="P126" s="160">
        <f t="shared" si="34"/>
        <v>1236.31</v>
      </c>
      <c r="Q126" s="161"/>
      <c r="R126" s="136"/>
      <c r="S126" s="108" t="str">
        <f t="shared" si="35"/>
        <v>Equipamentos (sob demanda)</v>
      </c>
      <c r="T126" s="110"/>
    </row>
    <row r="127" spans="1:37" ht="38.25">
      <c r="A127" s="155">
        <v>5</v>
      </c>
      <c r="B127" s="156" t="s">
        <v>127</v>
      </c>
      <c r="C127" s="173" t="s">
        <v>357</v>
      </c>
      <c r="D127" s="174" t="s">
        <v>22</v>
      </c>
      <c r="E127" s="156" t="s">
        <v>216</v>
      </c>
      <c r="F127" s="159">
        <v>852.66</v>
      </c>
      <c r="G127" s="156">
        <v>1</v>
      </c>
      <c r="H127" s="156">
        <v>0</v>
      </c>
      <c r="I127" s="156">
        <v>0</v>
      </c>
      <c r="J127" s="156">
        <v>0</v>
      </c>
      <c r="K127" s="156">
        <f t="shared" si="32"/>
        <v>1</v>
      </c>
      <c r="L127" s="176">
        <f t="shared" si="33"/>
        <v>852.66</v>
      </c>
      <c r="M127" s="160">
        <f t="shared" si="33"/>
        <v>0</v>
      </c>
      <c r="N127" s="160">
        <f t="shared" si="33"/>
        <v>0</v>
      </c>
      <c r="O127" s="160">
        <f t="shared" si="33"/>
        <v>0</v>
      </c>
      <c r="P127" s="160">
        <f t="shared" si="34"/>
        <v>852.66</v>
      </c>
      <c r="Q127" s="161"/>
      <c r="R127" s="136"/>
      <c r="S127" s="108" t="str">
        <f t="shared" si="35"/>
        <v>Equipamentos (sob demanda)</v>
      </c>
      <c r="T127" s="110"/>
    </row>
    <row r="128" spans="1:37">
      <c r="A128" s="259" t="e">
        <f>CONCATENATE("Custo anual dos ",#REF!," (R$)")</f>
        <v>#REF!</v>
      </c>
      <c r="B128" s="259"/>
      <c r="C128" s="259"/>
      <c r="D128" s="259"/>
      <c r="E128" s="259"/>
      <c r="F128" s="259"/>
      <c r="G128" s="259"/>
      <c r="H128" s="259"/>
      <c r="I128" s="259"/>
      <c r="J128" s="259"/>
      <c r="K128" s="259"/>
      <c r="L128" s="166">
        <f>SUM(L123:L127)</f>
        <v>2977.88</v>
      </c>
      <c r="M128" s="166">
        <f>SUM(M123:M127)</f>
        <v>0</v>
      </c>
      <c r="N128" s="166">
        <f>SUM(N123:N127)</f>
        <v>0</v>
      </c>
      <c r="O128" s="166">
        <f>SUM(O123:O127)</f>
        <v>0</v>
      </c>
      <c r="P128" s="166">
        <f>SUM(P123:P127)</f>
        <v>2977.88</v>
      </c>
      <c r="Q128" s="153"/>
      <c r="R128" s="136"/>
      <c r="T128" s="110"/>
    </row>
    <row r="129" spans="1:20">
      <c r="A129" s="259" t="e">
        <f>CONCATENATE("Custo mensal dos ",#REF!," (R$)")</f>
        <v>#REF!</v>
      </c>
      <c r="B129" s="259"/>
      <c r="C129" s="259"/>
      <c r="D129" s="259"/>
      <c r="E129" s="259"/>
      <c r="F129" s="259"/>
      <c r="G129" s="259"/>
      <c r="H129" s="259"/>
      <c r="I129" s="259"/>
      <c r="J129" s="259"/>
      <c r="K129" s="259"/>
      <c r="L129" s="177">
        <f>L128/12</f>
        <v>248.15666666666667</v>
      </c>
      <c r="M129" s="166">
        <f t="shared" ref="M129:P129" si="36">M128/12</f>
        <v>0</v>
      </c>
      <c r="N129" s="166">
        <f t="shared" si="36"/>
        <v>0</v>
      </c>
      <c r="O129" s="166">
        <f t="shared" si="36"/>
        <v>0</v>
      </c>
      <c r="P129" s="166">
        <f t="shared" si="36"/>
        <v>248.15666666666667</v>
      </c>
      <c r="Q129" s="153"/>
      <c r="R129" s="136"/>
      <c r="T129" s="110"/>
    </row>
    <row r="130" spans="1:20">
      <c r="A130" s="259" t="e">
        <f>CONCATENATE("Custo mensal dos ",#REF!," por posto (R$)")</f>
        <v>#REF!</v>
      </c>
      <c r="B130" s="259"/>
      <c r="C130" s="259"/>
      <c r="D130" s="259"/>
      <c r="E130" s="259"/>
      <c r="F130" s="259"/>
      <c r="G130" s="259"/>
      <c r="H130" s="259"/>
      <c r="I130" s="259"/>
      <c r="J130" s="259"/>
      <c r="K130" s="259"/>
      <c r="L130" s="167">
        <f>IF(ISERR(ROUND(L129/$S$9,2)),0,ROUND(L129/$S$9,2))</f>
        <v>22.56</v>
      </c>
      <c r="M130" s="167">
        <f>IF(ISERR(ROUND(M129/$S$10,2)),0,ROUND(M129/$S$10,2))</f>
        <v>0</v>
      </c>
      <c r="N130" s="167">
        <f>IF(ISERR(ROUND(N129/$S$11,2)),0,ROUND(N129/$S$11,2))</f>
        <v>0</v>
      </c>
      <c r="O130" s="167">
        <f>IF(ISERR(ROUND(O129/$S$12,2)),0,ROUND(O129/$S$12,2))</f>
        <v>0</v>
      </c>
      <c r="P130" s="168" t="s">
        <v>22</v>
      </c>
      <c r="Q130" s="169"/>
      <c r="R130" s="136"/>
      <c r="T130" s="110"/>
    </row>
    <row r="131" spans="1:20">
      <c r="R131" s="136"/>
      <c r="T131" s="110"/>
    </row>
    <row r="132" spans="1:20">
      <c r="R132" s="136"/>
      <c r="T132" s="110"/>
    </row>
    <row r="133" spans="1:20">
      <c r="R133" s="136"/>
      <c r="T133" s="110"/>
    </row>
  </sheetData>
  <mergeCells count="33">
    <mergeCell ref="A130:K130"/>
    <mergeCell ref="A115:K115"/>
    <mergeCell ref="G121:K121"/>
    <mergeCell ref="L121:P121"/>
    <mergeCell ref="A128:K128"/>
    <mergeCell ref="A129:K129"/>
    <mergeCell ref="A114:K114"/>
    <mergeCell ref="L14:P14"/>
    <mergeCell ref="A17:P17"/>
    <mergeCell ref="A18:P18"/>
    <mergeCell ref="G22:K22"/>
    <mergeCell ref="L22:P22"/>
    <mergeCell ref="A29:K29"/>
    <mergeCell ref="G14:K14"/>
    <mergeCell ref="A30:K30"/>
    <mergeCell ref="A31:K31"/>
    <mergeCell ref="G37:K37"/>
    <mergeCell ref="L37:P37"/>
    <mergeCell ref="A113:K113"/>
    <mergeCell ref="D8:F8"/>
    <mergeCell ref="D9:F9"/>
    <mergeCell ref="D10:F10"/>
    <mergeCell ref="D11:F11"/>
    <mergeCell ref="D12:F12"/>
    <mergeCell ref="AK3:AL6"/>
    <mergeCell ref="A4:P4"/>
    <mergeCell ref="G6:K6"/>
    <mergeCell ref="L6:O6"/>
    <mergeCell ref="A1:D2"/>
    <mergeCell ref="E1:P1"/>
    <mergeCell ref="U1:W1"/>
    <mergeCell ref="T2:W3"/>
    <mergeCell ref="AJ3:AJ6"/>
  </mergeCells>
  <conditionalFormatting sqref="A4:P4">
    <cfRule type="cellIs" dxfId="2" priority="1" operator="notEqual">
      <formula>""</formula>
    </cfRule>
  </conditionalFormatting>
  <conditionalFormatting sqref="AK23:AK133">
    <cfRule type="cellIs" dxfId="1" priority="2" operator="equal">
      <formula>"Acima do estimado"</formula>
    </cfRule>
    <cfRule type="cellIs" dxfId="0" priority="3" operator="equal">
      <formula>"Indício de inexequibilidade. Justificativa."</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K167"/>
  <sheetViews>
    <sheetView zoomScale="140" zoomScaleNormal="140" workbookViewId="0">
      <selection activeCell="A2" sqref="A2:K159"/>
    </sheetView>
  </sheetViews>
  <sheetFormatPr defaultColWidth="9.140625" defaultRowHeight="12.75"/>
  <cols>
    <col min="1" max="1" width="10" customWidth="1"/>
    <col min="2" max="2" width="11.42578125" customWidth="1"/>
    <col min="3" max="3" width="15" customWidth="1"/>
    <col min="4" max="4" width="14.140625" customWidth="1"/>
    <col min="5" max="5" width="17.5703125" customWidth="1"/>
    <col min="6" max="6" width="14.5703125" customWidth="1"/>
    <col min="7" max="7" width="19.140625" customWidth="1"/>
    <col min="8" max="8" width="11" bestFit="1" customWidth="1"/>
    <col min="9" max="9" width="13.42578125" customWidth="1"/>
    <col min="10" max="10" width="9.5703125" customWidth="1"/>
    <col min="11" max="11" width="14" customWidth="1"/>
    <col min="13" max="13" width="9.5703125" customWidth="1"/>
  </cols>
  <sheetData>
    <row r="1" spans="1:9">
      <c r="A1" s="202"/>
      <c r="B1" s="202"/>
      <c r="C1" s="202"/>
      <c r="D1" s="202"/>
      <c r="E1" s="202"/>
      <c r="F1" s="202"/>
      <c r="G1" s="202"/>
      <c r="H1" s="202"/>
      <c r="I1" s="202"/>
    </row>
    <row r="2" spans="1:9">
      <c r="A2" s="203" t="s">
        <v>18</v>
      </c>
      <c r="B2" s="203"/>
      <c r="C2" s="203"/>
      <c r="D2" s="203"/>
      <c r="E2" s="203"/>
      <c r="F2" s="203"/>
      <c r="G2" s="203"/>
      <c r="H2" s="203"/>
      <c r="I2" s="203"/>
    </row>
    <row r="3" spans="1:9">
      <c r="A3" s="9"/>
      <c r="B3" s="9"/>
      <c r="C3" s="9"/>
      <c r="D3" s="9"/>
      <c r="E3" s="9"/>
      <c r="F3" s="9"/>
      <c r="G3" s="9"/>
      <c r="H3" s="9"/>
      <c r="I3" s="9"/>
    </row>
    <row r="4" spans="1:9">
      <c r="A4" s="200" t="s">
        <v>19</v>
      </c>
      <c r="B4" s="200"/>
      <c r="C4" s="200"/>
      <c r="D4" s="200"/>
      <c r="E4" s="200"/>
      <c r="F4" s="200"/>
      <c r="G4" s="200"/>
      <c r="H4" s="200"/>
      <c r="I4" s="200"/>
    </row>
    <row r="5" spans="1:9">
      <c r="A5" s="2" t="s">
        <v>20</v>
      </c>
      <c r="B5" s="201" t="s">
        <v>21</v>
      </c>
      <c r="C5" s="201"/>
      <c r="D5" s="201"/>
      <c r="E5" s="201"/>
      <c r="F5" s="201"/>
      <c r="G5" s="201"/>
      <c r="H5" s="204" t="s">
        <v>22</v>
      </c>
      <c r="I5" s="199"/>
    </row>
    <row r="6" spans="1:9">
      <c r="A6" s="2" t="s">
        <v>23</v>
      </c>
      <c r="B6" s="201" t="s">
        <v>24</v>
      </c>
      <c r="C6" s="201"/>
      <c r="D6" s="201"/>
      <c r="E6" s="201"/>
      <c r="F6" s="201"/>
      <c r="G6" s="201"/>
      <c r="H6" s="199" t="s">
        <v>25</v>
      </c>
      <c r="I6" s="199"/>
    </row>
    <row r="7" spans="1:9">
      <c r="A7" s="2" t="s">
        <v>26</v>
      </c>
      <c r="B7" s="201" t="s">
        <v>27</v>
      </c>
      <c r="C7" s="201"/>
      <c r="D7" s="201"/>
      <c r="E7" s="201"/>
      <c r="F7" s="201"/>
      <c r="G7" s="201"/>
      <c r="H7" s="197" t="s">
        <v>28</v>
      </c>
      <c r="I7" s="199"/>
    </row>
    <row r="8" spans="1:9">
      <c r="A8" s="2" t="s">
        <v>29</v>
      </c>
      <c r="B8" s="201" t="s">
        <v>30</v>
      </c>
      <c r="C8" s="201"/>
      <c r="D8" s="201"/>
      <c r="E8" s="201"/>
      <c r="F8" s="201"/>
      <c r="G8" s="201"/>
      <c r="H8" s="199">
        <v>24</v>
      </c>
      <c r="I8" s="199"/>
    </row>
    <row r="9" spans="1:9">
      <c r="A9" s="10"/>
      <c r="B9" s="9"/>
      <c r="C9" s="9"/>
      <c r="D9" s="9"/>
      <c r="E9" s="9"/>
      <c r="F9" s="9"/>
      <c r="G9" s="9"/>
      <c r="H9" s="10"/>
      <c r="I9" s="10"/>
    </row>
    <row r="10" spans="1:9">
      <c r="A10" s="200" t="s">
        <v>31</v>
      </c>
      <c r="B10" s="200"/>
      <c r="C10" s="200"/>
      <c r="D10" s="200"/>
      <c r="E10" s="200"/>
      <c r="F10" s="200"/>
      <c r="G10" s="200"/>
      <c r="H10" s="200"/>
      <c r="I10" s="200"/>
    </row>
    <row r="11" spans="1:9">
      <c r="A11" s="199" t="s">
        <v>32</v>
      </c>
      <c r="B11" s="199"/>
      <c r="C11" s="199" t="s">
        <v>33</v>
      </c>
      <c r="D11" s="199"/>
      <c r="E11" s="199" t="s">
        <v>34</v>
      </c>
      <c r="F11" s="199"/>
      <c r="G11" s="199"/>
      <c r="H11" s="199"/>
      <c r="I11" s="199"/>
    </row>
    <row r="12" spans="1:9">
      <c r="A12" s="199" t="s">
        <v>35</v>
      </c>
      <c r="B12" s="199"/>
      <c r="C12" s="199" t="s">
        <v>36</v>
      </c>
      <c r="D12" s="199"/>
      <c r="E12" s="199">
        <v>2</v>
      </c>
      <c r="F12" s="199"/>
      <c r="G12" s="199"/>
      <c r="H12" s="199"/>
      <c r="I12" s="199"/>
    </row>
    <row r="13" spans="1:9">
      <c r="A13" s="10"/>
      <c r="B13" s="9"/>
      <c r="C13" s="9"/>
      <c r="D13" s="9"/>
      <c r="E13" s="9"/>
      <c r="F13" s="9"/>
      <c r="G13" s="9"/>
      <c r="H13" s="10"/>
      <c r="I13" s="10"/>
    </row>
    <row r="14" spans="1:9">
      <c r="A14" s="200" t="s">
        <v>37</v>
      </c>
      <c r="B14" s="200"/>
      <c r="C14" s="200"/>
      <c r="D14" s="200"/>
      <c r="E14" s="200"/>
      <c r="F14" s="200"/>
      <c r="G14" s="200"/>
      <c r="H14" s="200"/>
      <c r="I14" s="200"/>
    </row>
    <row r="15" spans="1:9">
      <c r="A15" s="2">
        <v>1</v>
      </c>
      <c r="B15" s="201" t="s">
        <v>38</v>
      </c>
      <c r="C15" s="201"/>
      <c r="D15" s="201"/>
      <c r="E15" s="201"/>
      <c r="F15" s="201"/>
      <c r="G15" s="201"/>
      <c r="H15" s="197" t="s">
        <v>39</v>
      </c>
      <c r="I15" s="199"/>
    </row>
    <row r="16" spans="1:9">
      <c r="A16" s="2">
        <v>2</v>
      </c>
      <c r="B16" s="201" t="s">
        <v>40</v>
      </c>
      <c r="C16" s="201"/>
      <c r="D16" s="201"/>
      <c r="E16" s="201"/>
      <c r="F16" s="201"/>
      <c r="G16" s="201"/>
      <c r="H16" s="205" t="s">
        <v>41</v>
      </c>
      <c r="I16" s="206"/>
    </row>
    <row r="17" spans="1:11">
      <c r="A17" s="2">
        <v>3</v>
      </c>
      <c r="B17" s="201" t="s">
        <v>42</v>
      </c>
      <c r="C17" s="201"/>
      <c r="D17" s="201"/>
      <c r="E17" s="201"/>
      <c r="F17" s="201"/>
      <c r="G17" s="201"/>
      <c r="H17" s="207">
        <v>1361.26</v>
      </c>
      <c r="I17" s="199"/>
    </row>
    <row r="18" spans="1:11">
      <c r="A18" s="2">
        <v>4</v>
      </c>
      <c r="B18" s="201" t="s">
        <v>43</v>
      </c>
      <c r="C18" s="201"/>
      <c r="D18" s="201"/>
      <c r="E18" s="201"/>
      <c r="F18" s="201"/>
      <c r="G18" s="201"/>
      <c r="H18" s="199" t="s">
        <v>44</v>
      </c>
      <c r="I18" s="199"/>
    </row>
    <row r="19" spans="1:11">
      <c r="A19" s="2">
        <v>5</v>
      </c>
      <c r="B19" s="201" t="s">
        <v>45</v>
      </c>
      <c r="C19" s="201"/>
      <c r="D19" s="201"/>
      <c r="E19" s="201"/>
      <c r="F19" s="201"/>
      <c r="G19" s="201"/>
      <c r="H19" s="204">
        <v>44927</v>
      </c>
      <c r="I19" s="199"/>
    </row>
    <row r="20" spans="1:11">
      <c r="A20" s="202"/>
      <c r="B20" s="202"/>
      <c r="C20" s="202"/>
      <c r="D20" s="202"/>
      <c r="E20" s="202"/>
      <c r="F20" s="202"/>
      <c r="G20" s="202"/>
      <c r="H20" s="202"/>
      <c r="I20" s="202"/>
    </row>
    <row r="21" spans="1:11">
      <c r="A21" s="208" t="s">
        <v>46</v>
      </c>
      <c r="B21" s="208"/>
      <c r="C21" s="208"/>
      <c r="D21" s="208"/>
      <c r="E21" s="208"/>
      <c r="F21" s="208"/>
      <c r="G21" s="208"/>
      <c r="H21" s="208"/>
      <c r="I21" s="208"/>
    </row>
    <row r="22" spans="1:11">
      <c r="A22" s="1">
        <v>1</v>
      </c>
      <c r="B22" s="209" t="s">
        <v>47</v>
      </c>
      <c r="C22" s="209"/>
      <c r="D22" s="209"/>
      <c r="E22" s="209"/>
      <c r="F22" s="209"/>
      <c r="G22" s="209"/>
      <c r="H22" s="1" t="s">
        <v>48</v>
      </c>
      <c r="I22" s="1" t="s">
        <v>49</v>
      </c>
    </row>
    <row r="23" spans="1:11">
      <c r="A23" s="1" t="s">
        <v>20</v>
      </c>
      <c r="B23" s="201" t="s">
        <v>50</v>
      </c>
      <c r="C23" s="201"/>
      <c r="D23" s="201"/>
      <c r="E23" s="201"/>
      <c r="F23" s="201"/>
      <c r="G23" s="201"/>
      <c r="H23" s="5"/>
      <c r="I23" s="19">
        <v>1361.26</v>
      </c>
    </row>
    <row r="24" spans="1:11">
      <c r="A24" s="1" t="s">
        <v>23</v>
      </c>
      <c r="B24" s="201" t="s">
        <v>51</v>
      </c>
      <c r="C24" s="201"/>
      <c r="D24" s="201"/>
      <c r="E24" s="201"/>
      <c r="F24" s="201"/>
      <c r="G24" s="201"/>
      <c r="H24" s="34">
        <v>0</v>
      </c>
      <c r="I24" s="19">
        <f>I23*H24</f>
        <v>0</v>
      </c>
      <c r="K24" s="41"/>
    </row>
    <row r="25" spans="1:11">
      <c r="A25" s="1" t="s">
        <v>26</v>
      </c>
      <c r="B25" s="201" t="s">
        <v>52</v>
      </c>
      <c r="C25" s="201"/>
      <c r="D25" s="201"/>
      <c r="E25" s="201"/>
      <c r="F25" s="201"/>
      <c r="G25" s="201"/>
      <c r="H25" s="34">
        <v>0</v>
      </c>
      <c r="I25" s="19">
        <f>H25*I23</f>
        <v>0</v>
      </c>
    </row>
    <row r="26" spans="1:11">
      <c r="A26" s="1" t="s">
        <v>29</v>
      </c>
      <c r="B26" s="201" t="s">
        <v>53</v>
      </c>
      <c r="C26" s="201"/>
      <c r="D26" s="201"/>
      <c r="E26" s="201"/>
      <c r="F26" s="201"/>
      <c r="G26" s="201"/>
      <c r="H26" s="34">
        <v>0</v>
      </c>
      <c r="I26" s="19">
        <f>(((I23+I24)/220)*H26*8*15)</f>
        <v>0</v>
      </c>
    </row>
    <row r="27" spans="1:11">
      <c r="A27" s="1" t="s">
        <v>54</v>
      </c>
      <c r="B27" s="201" t="s">
        <v>55</v>
      </c>
      <c r="C27" s="201"/>
      <c r="D27" s="201"/>
      <c r="E27" s="201"/>
      <c r="F27" s="201"/>
      <c r="G27" s="201"/>
      <c r="H27" s="35"/>
      <c r="I27" s="19">
        <v>0</v>
      </c>
    </row>
    <row r="28" spans="1:11">
      <c r="A28" s="1" t="s">
        <v>56</v>
      </c>
      <c r="B28" s="201" t="s">
        <v>57</v>
      </c>
      <c r="C28" s="201"/>
      <c r="D28" s="201"/>
      <c r="E28" s="201"/>
      <c r="F28" s="201"/>
      <c r="G28" s="201"/>
      <c r="H28" s="34"/>
      <c r="I28" s="19">
        <v>0</v>
      </c>
    </row>
    <row r="29" spans="1:11">
      <c r="A29" s="209" t="s">
        <v>58</v>
      </c>
      <c r="B29" s="209"/>
      <c r="C29" s="209"/>
      <c r="D29" s="209"/>
      <c r="E29" s="209"/>
      <c r="F29" s="209"/>
      <c r="G29" s="209"/>
      <c r="H29" s="209"/>
      <c r="I29" s="15">
        <f>TRUNC(SUM(I23:I28),2)</f>
        <v>1361.26</v>
      </c>
    </row>
    <row r="30" spans="1:11">
      <c r="A30" s="11"/>
      <c r="B30" s="11"/>
      <c r="C30" s="11"/>
      <c r="D30" s="11"/>
      <c r="E30" s="11"/>
      <c r="F30" s="11"/>
      <c r="G30" s="11"/>
      <c r="H30" s="11"/>
      <c r="I30" s="16"/>
    </row>
    <row r="31" spans="1:11">
      <c r="A31" s="208" t="s">
        <v>59</v>
      </c>
      <c r="B31" s="208"/>
      <c r="C31" s="208"/>
      <c r="D31" s="208"/>
      <c r="E31" s="208"/>
      <c r="F31" s="208"/>
      <c r="G31" s="208"/>
      <c r="H31" s="208"/>
      <c r="I31" s="208"/>
    </row>
    <row r="32" spans="1:11">
      <c r="A32" s="209" t="s">
        <v>60</v>
      </c>
      <c r="B32" s="209"/>
      <c r="C32" s="209"/>
      <c r="D32" s="209"/>
      <c r="E32" s="209"/>
      <c r="F32" s="209"/>
      <c r="G32" s="209"/>
      <c r="H32" s="1" t="s">
        <v>48</v>
      </c>
      <c r="I32" s="1" t="s">
        <v>49</v>
      </c>
    </row>
    <row r="33" spans="1:11">
      <c r="A33" s="1" t="s">
        <v>20</v>
      </c>
      <c r="B33" s="201" t="s">
        <v>61</v>
      </c>
      <c r="C33" s="201"/>
      <c r="D33" s="201"/>
      <c r="E33" s="201"/>
      <c r="F33" s="201"/>
      <c r="G33" s="201"/>
      <c r="H33" s="20">
        <v>8.3299999999999999E-2</v>
      </c>
      <c r="I33" s="19">
        <f>TRUNC($I$29*H33,2)</f>
        <v>113.39</v>
      </c>
    </row>
    <row r="34" spans="1:11">
      <c r="A34" s="1" t="s">
        <v>23</v>
      </c>
      <c r="B34" s="201" t="s">
        <v>62</v>
      </c>
      <c r="C34" s="201"/>
      <c r="D34" s="201"/>
      <c r="E34" s="201"/>
      <c r="F34" s="201"/>
      <c r="G34" s="201"/>
      <c r="H34" s="12">
        <v>3.0300000000000001E-2</v>
      </c>
      <c r="I34" s="19">
        <f>TRUNC(H34*I29,2)</f>
        <v>41.24</v>
      </c>
    </row>
    <row r="35" spans="1:11">
      <c r="A35" s="209" t="s">
        <v>63</v>
      </c>
      <c r="B35" s="209"/>
      <c r="C35" s="209"/>
      <c r="D35" s="209"/>
      <c r="E35" s="209"/>
      <c r="F35" s="209"/>
      <c r="G35" s="209"/>
      <c r="H35" s="13">
        <f>TRUNC(SUM(H33:H34),4)</f>
        <v>0.11360000000000001</v>
      </c>
      <c r="I35" s="15">
        <f>TRUNC(SUM(I33:I34),2)</f>
        <v>154.63</v>
      </c>
    </row>
    <row r="36" spans="1:11">
      <c r="A36" s="210"/>
      <c r="B36" s="211"/>
      <c r="C36" s="211"/>
      <c r="D36" s="211"/>
      <c r="E36" s="211"/>
      <c r="F36" s="211"/>
      <c r="G36" s="211"/>
      <c r="H36" s="211"/>
      <c r="I36" s="211"/>
      <c r="J36" s="17" t="s">
        <v>64</v>
      </c>
      <c r="K36" s="33">
        <f>I29+I35</f>
        <v>1515.8899999999999</v>
      </c>
    </row>
    <row r="37" spans="1:11">
      <c r="A37" s="209" t="s">
        <v>65</v>
      </c>
      <c r="B37" s="209"/>
      <c r="C37" s="209"/>
      <c r="D37" s="209"/>
      <c r="E37" s="209"/>
      <c r="F37" s="209"/>
      <c r="G37" s="209"/>
      <c r="H37" s="1" t="s">
        <v>48</v>
      </c>
      <c r="I37" s="1" t="s">
        <v>49</v>
      </c>
    </row>
    <row r="38" spans="1:11">
      <c r="A38" s="1" t="s">
        <v>20</v>
      </c>
      <c r="B38" s="201" t="s">
        <v>66</v>
      </c>
      <c r="C38" s="201"/>
      <c r="D38" s="201"/>
      <c r="E38" s="201"/>
      <c r="F38" s="201"/>
      <c r="G38" s="201"/>
      <c r="H38" s="20">
        <v>0.2</v>
      </c>
      <c r="I38" s="19">
        <f>H38*$K$36</f>
        <v>303.178</v>
      </c>
    </row>
    <row r="39" spans="1:11">
      <c r="A39" s="1" t="s">
        <v>23</v>
      </c>
      <c r="B39" s="201" t="s">
        <v>67</v>
      </c>
      <c r="C39" s="201"/>
      <c r="D39" s="201"/>
      <c r="E39" s="201"/>
      <c r="F39" s="201"/>
      <c r="G39" s="201"/>
      <c r="H39" s="20">
        <v>2.5000000000000001E-2</v>
      </c>
      <c r="I39" s="19">
        <f t="shared" ref="I39:I45" si="0">H39*$K$36</f>
        <v>37.89725</v>
      </c>
    </row>
    <row r="40" spans="1:11">
      <c r="A40" s="1" t="s">
        <v>26</v>
      </c>
      <c r="B40" s="201" t="s">
        <v>68</v>
      </c>
      <c r="C40" s="201"/>
      <c r="D40" s="201"/>
      <c r="E40" s="201"/>
      <c r="F40" s="201"/>
      <c r="G40" s="201"/>
      <c r="H40" s="20">
        <v>0.03</v>
      </c>
      <c r="I40" s="19">
        <f t="shared" si="0"/>
        <v>45.476699999999994</v>
      </c>
    </row>
    <row r="41" spans="1:11">
      <c r="A41" s="1" t="s">
        <v>29</v>
      </c>
      <c r="B41" s="201" t="s">
        <v>69</v>
      </c>
      <c r="C41" s="201"/>
      <c r="D41" s="201"/>
      <c r="E41" s="201"/>
      <c r="F41" s="201"/>
      <c r="G41" s="201"/>
      <c r="H41" s="20">
        <v>1.4999999999999999E-2</v>
      </c>
      <c r="I41" s="19">
        <f t="shared" si="0"/>
        <v>22.738349999999997</v>
      </c>
    </row>
    <row r="42" spans="1:11">
      <c r="A42" s="1" t="s">
        <v>54</v>
      </c>
      <c r="B42" s="201" t="s">
        <v>70</v>
      </c>
      <c r="C42" s="201"/>
      <c r="D42" s="201"/>
      <c r="E42" s="201"/>
      <c r="F42" s="201"/>
      <c r="G42" s="201"/>
      <c r="H42" s="20">
        <v>0.01</v>
      </c>
      <c r="I42" s="19">
        <f t="shared" si="0"/>
        <v>15.158899999999999</v>
      </c>
    </row>
    <row r="43" spans="1:11">
      <c r="A43" s="1" t="s">
        <v>56</v>
      </c>
      <c r="B43" s="201" t="s">
        <v>71</v>
      </c>
      <c r="C43" s="201"/>
      <c r="D43" s="201"/>
      <c r="E43" s="201"/>
      <c r="F43" s="201"/>
      <c r="G43" s="201"/>
      <c r="H43" s="20">
        <v>6.0000000000000001E-3</v>
      </c>
      <c r="I43" s="19">
        <f t="shared" si="0"/>
        <v>9.0953400000000002</v>
      </c>
    </row>
    <row r="44" spans="1:11">
      <c r="A44" s="1" t="s">
        <v>72</v>
      </c>
      <c r="B44" s="201" t="s">
        <v>73</v>
      </c>
      <c r="C44" s="201"/>
      <c r="D44" s="201"/>
      <c r="E44" s="201"/>
      <c r="F44" s="201"/>
      <c r="G44" s="201"/>
      <c r="H44" s="20">
        <v>2E-3</v>
      </c>
      <c r="I44" s="19">
        <f t="shared" si="0"/>
        <v>3.0317799999999999</v>
      </c>
    </row>
    <row r="45" spans="1:11">
      <c r="A45" s="1" t="s">
        <v>74</v>
      </c>
      <c r="B45" s="201" t="s">
        <v>75</v>
      </c>
      <c r="C45" s="201"/>
      <c r="D45" s="201"/>
      <c r="E45" s="201"/>
      <c r="F45" s="201"/>
      <c r="G45" s="201"/>
      <c r="H45" s="20">
        <v>0.08</v>
      </c>
      <c r="I45" s="19">
        <f t="shared" si="0"/>
        <v>121.27119999999999</v>
      </c>
    </row>
    <row r="46" spans="1:11">
      <c r="A46" s="209" t="s">
        <v>76</v>
      </c>
      <c r="B46" s="209"/>
      <c r="C46" s="209"/>
      <c r="D46" s="209"/>
      <c r="E46" s="209"/>
      <c r="F46" s="209"/>
      <c r="G46" s="209"/>
      <c r="H46" s="13">
        <f>SUM(H38:H45)</f>
        <v>0.36800000000000005</v>
      </c>
      <c r="I46" s="15">
        <f>TRUNC(SUM(I38:I45),2)</f>
        <v>557.84</v>
      </c>
    </row>
    <row r="47" spans="1:11">
      <c r="A47" s="212"/>
      <c r="B47" s="212"/>
      <c r="C47" s="212"/>
      <c r="D47" s="212"/>
      <c r="E47" s="212"/>
      <c r="F47" s="212"/>
      <c r="G47" s="212"/>
      <c r="H47" s="212"/>
      <c r="I47" s="213"/>
    </row>
    <row r="48" spans="1:11">
      <c r="A48" s="209" t="s">
        <v>77</v>
      </c>
      <c r="B48" s="209"/>
      <c r="C48" s="209"/>
      <c r="D48" s="209"/>
      <c r="E48" s="209"/>
      <c r="F48" s="209"/>
      <c r="G48" s="209"/>
      <c r="H48" s="13"/>
      <c r="I48" s="1" t="s">
        <v>49</v>
      </c>
    </row>
    <row r="49" spans="1:11">
      <c r="A49" s="1" t="s">
        <v>20</v>
      </c>
      <c r="B49" s="214" t="s">
        <v>78</v>
      </c>
      <c r="C49" s="215"/>
      <c r="D49" s="215"/>
      <c r="E49" s="215"/>
      <c r="F49" s="215"/>
      <c r="G49" s="215"/>
      <c r="H49" s="2">
        <v>52</v>
      </c>
      <c r="I49" s="18">
        <f>3.9*H49-K49</f>
        <v>121.12439999999998</v>
      </c>
      <c r="K49">
        <f>I23*0.06</f>
        <v>81.675600000000003</v>
      </c>
    </row>
    <row r="50" spans="1:11">
      <c r="A50" s="1" t="s">
        <v>23</v>
      </c>
      <c r="B50" s="214" t="s">
        <v>79</v>
      </c>
      <c r="C50" s="215"/>
      <c r="D50" s="215"/>
      <c r="E50" s="215"/>
      <c r="F50" s="215"/>
      <c r="G50" s="215"/>
      <c r="H50" s="2" t="s">
        <v>22</v>
      </c>
      <c r="I50" s="18">
        <f>210.23-210.23*0.2</f>
        <v>168.184</v>
      </c>
      <c r="K50" s="41">
        <f>568.04*12.47%+568.04</f>
        <v>638.8745879999999</v>
      </c>
    </row>
    <row r="51" spans="1:11">
      <c r="A51" s="1" t="s">
        <v>26</v>
      </c>
      <c r="B51" s="215" t="s">
        <v>80</v>
      </c>
      <c r="C51" s="215"/>
      <c r="D51" s="215"/>
      <c r="E51" s="215"/>
      <c r="F51" s="215"/>
      <c r="G51" s="215"/>
      <c r="H51" s="2" t="s">
        <v>22</v>
      </c>
      <c r="I51" s="18">
        <v>13.08</v>
      </c>
      <c r="K51" s="41">
        <f>105.29*12.13%+105.29</f>
        <v>118.061677</v>
      </c>
    </row>
    <row r="52" spans="1:11">
      <c r="A52" s="1" t="s">
        <v>29</v>
      </c>
      <c r="B52" s="216" t="s">
        <v>81</v>
      </c>
      <c r="C52" s="217"/>
      <c r="D52" s="217"/>
      <c r="E52" s="217"/>
      <c r="F52" s="217"/>
      <c r="G52" s="218"/>
      <c r="H52" s="2" t="s">
        <v>22</v>
      </c>
      <c r="I52" s="18">
        <v>116.69</v>
      </c>
      <c r="K52" s="41">
        <f>11.83*12.13%+11.83</f>
        <v>13.264979</v>
      </c>
    </row>
    <row r="53" spans="1:11">
      <c r="A53" s="1" t="s">
        <v>54</v>
      </c>
      <c r="B53" s="216" t="s">
        <v>82</v>
      </c>
      <c r="C53" s="217"/>
      <c r="D53" s="217"/>
      <c r="E53" s="217"/>
      <c r="F53" s="217"/>
      <c r="G53" s="218"/>
      <c r="H53" s="2" t="s">
        <v>22</v>
      </c>
      <c r="I53" s="18">
        <v>0.73</v>
      </c>
    </row>
    <row r="54" spans="1:11">
      <c r="A54" s="1" t="s">
        <v>56</v>
      </c>
      <c r="B54" s="215" t="s">
        <v>83</v>
      </c>
      <c r="C54" s="215"/>
      <c r="D54" s="215"/>
      <c r="E54" s="215"/>
      <c r="F54" s="215"/>
      <c r="G54" s="215"/>
      <c r="H54" s="2" t="s">
        <v>22</v>
      </c>
      <c r="I54" s="18">
        <v>0</v>
      </c>
    </row>
    <row r="55" spans="1:11">
      <c r="A55" s="209" t="s">
        <v>84</v>
      </c>
      <c r="B55" s="209"/>
      <c r="C55" s="209"/>
      <c r="D55" s="209"/>
      <c r="E55" s="209"/>
      <c r="F55" s="209"/>
      <c r="G55" s="209"/>
      <c r="H55" s="209"/>
      <c r="I55" s="15">
        <f>SUM(I49:I54)</f>
        <v>419.80840000000001</v>
      </c>
    </row>
    <row r="56" spans="1:11">
      <c r="A56" s="212"/>
      <c r="B56" s="212"/>
      <c r="C56" s="212"/>
      <c r="D56" s="212"/>
      <c r="E56" s="212"/>
      <c r="F56" s="212"/>
      <c r="G56" s="212"/>
      <c r="H56" s="212"/>
      <c r="I56" s="213"/>
    </row>
    <row r="57" spans="1:11">
      <c r="A57" s="219" t="s">
        <v>85</v>
      </c>
      <c r="B57" s="219"/>
      <c r="C57" s="219"/>
      <c r="D57" s="219"/>
      <c r="E57" s="219"/>
      <c r="F57" s="219"/>
      <c r="G57" s="219"/>
      <c r="H57" s="219"/>
      <c r="I57" s="219"/>
    </row>
    <row r="58" spans="1:11">
      <c r="A58" s="209" t="s">
        <v>86</v>
      </c>
      <c r="B58" s="209"/>
      <c r="C58" s="209"/>
      <c r="D58" s="209"/>
      <c r="E58" s="209"/>
      <c r="F58" s="209"/>
      <c r="G58" s="209"/>
      <c r="H58" s="209"/>
      <c r="I58" s="1" t="s">
        <v>49</v>
      </c>
    </row>
    <row r="59" spans="1:11">
      <c r="A59" s="1" t="s">
        <v>87</v>
      </c>
      <c r="B59" s="199" t="s">
        <v>88</v>
      </c>
      <c r="C59" s="199"/>
      <c r="D59" s="199"/>
      <c r="E59" s="199"/>
      <c r="F59" s="199"/>
      <c r="G59" s="199"/>
      <c r="H59" s="199"/>
      <c r="I59" s="19">
        <f>I35</f>
        <v>154.63</v>
      </c>
    </row>
    <row r="60" spans="1:11">
      <c r="A60" s="1" t="s">
        <v>89</v>
      </c>
      <c r="B60" s="199" t="s">
        <v>90</v>
      </c>
      <c r="C60" s="199"/>
      <c r="D60" s="199"/>
      <c r="E60" s="199"/>
      <c r="F60" s="199"/>
      <c r="G60" s="199"/>
      <c r="H60" s="199"/>
      <c r="I60" s="19">
        <f>I46</f>
        <v>557.84</v>
      </c>
    </row>
    <row r="61" spans="1:11">
      <c r="A61" s="1" t="s">
        <v>91</v>
      </c>
      <c r="B61" s="199" t="s">
        <v>92</v>
      </c>
      <c r="C61" s="199"/>
      <c r="D61" s="199"/>
      <c r="E61" s="199"/>
      <c r="F61" s="199"/>
      <c r="G61" s="199"/>
      <c r="H61" s="199"/>
      <c r="I61" s="19">
        <f>I55</f>
        <v>419.80840000000001</v>
      </c>
    </row>
    <row r="62" spans="1:11">
      <c r="A62" s="209" t="s">
        <v>93</v>
      </c>
      <c r="B62" s="209"/>
      <c r="C62" s="209"/>
      <c r="D62" s="209"/>
      <c r="E62" s="209"/>
      <c r="F62" s="209"/>
      <c r="G62" s="209"/>
      <c r="H62" s="209"/>
      <c r="I62" s="15">
        <f>TRUNC(SUM(I59:I61),2)</f>
        <v>1132.27</v>
      </c>
    </row>
    <row r="63" spans="1:11">
      <c r="A63" s="220"/>
      <c r="B63" s="221"/>
      <c r="C63" s="221"/>
      <c r="D63" s="221"/>
      <c r="E63" s="221"/>
      <c r="F63" s="221"/>
      <c r="G63" s="221"/>
      <c r="H63" s="221"/>
      <c r="I63" s="221"/>
    </row>
    <row r="64" spans="1:11">
      <c r="A64" s="208" t="s">
        <v>94</v>
      </c>
      <c r="B64" s="208"/>
      <c r="C64" s="208"/>
      <c r="D64" s="208"/>
      <c r="E64" s="208"/>
      <c r="F64" s="208"/>
      <c r="G64" s="208"/>
      <c r="H64" s="208"/>
      <c r="I64" s="208"/>
    </row>
    <row r="65" spans="1:11">
      <c r="A65" s="1">
        <v>3</v>
      </c>
      <c r="B65" s="209" t="s">
        <v>95</v>
      </c>
      <c r="C65" s="209"/>
      <c r="D65" s="209"/>
      <c r="E65" s="209"/>
      <c r="F65" s="209"/>
      <c r="G65" s="209"/>
      <c r="H65" s="1" t="s">
        <v>48</v>
      </c>
      <c r="I65" s="1" t="s">
        <v>49</v>
      </c>
    </row>
    <row r="66" spans="1:11">
      <c r="A66" s="1" t="s">
        <v>20</v>
      </c>
      <c r="B66" s="201" t="s">
        <v>96</v>
      </c>
      <c r="C66" s="201"/>
      <c r="D66" s="201"/>
      <c r="E66" s="201"/>
      <c r="F66" s="201"/>
      <c r="G66" s="201"/>
      <c r="H66" s="20">
        <v>4.5999999999999999E-3</v>
      </c>
      <c r="I66" s="19">
        <f>($I$29+$I$35+$I$45+$I$55)*H66</f>
        <v>9.4620601600000001</v>
      </c>
    </row>
    <row r="67" spans="1:11">
      <c r="A67" s="1" t="s">
        <v>23</v>
      </c>
      <c r="B67" s="201" t="s">
        <v>97</v>
      </c>
      <c r="C67" s="201"/>
      <c r="D67" s="201"/>
      <c r="E67" s="201"/>
      <c r="F67" s="201"/>
      <c r="G67" s="201"/>
      <c r="H67" s="20">
        <f>H66*H45</f>
        <v>3.68E-4</v>
      </c>
      <c r="I67" s="19">
        <f>H67*($I$29+$I$35)</f>
        <v>0.55784751999999993</v>
      </c>
      <c r="K67" s="48"/>
    </row>
    <row r="68" spans="1:11">
      <c r="A68" s="1" t="s">
        <v>26</v>
      </c>
      <c r="B68" s="201" t="s">
        <v>98</v>
      </c>
      <c r="C68" s="201"/>
      <c r="D68" s="201"/>
      <c r="E68" s="201"/>
      <c r="F68" s="201"/>
      <c r="G68" s="201"/>
      <c r="H68" s="20">
        <v>3.4700000000000002E-2</v>
      </c>
      <c r="I68" s="19">
        <f>H68*($I$29+$I$35)</f>
        <v>52.601382999999998</v>
      </c>
    </row>
    <row r="69" spans="1:11">
      <c r="A69" s="1" t="s">
        <v>29</v>
      </c>
      <c r="B69" s="201" t="s">
        <v>99</v>
      </c>
      <c r="C69" s="201"/>
      <c r="D69" s="201"/>
      <c r="E69" s="201"/>
      <c r="F69" s="201"/>
      <c r="G69" s="201"/>
      <c r="H69" s="20">
        <v>1.9400000000000001E-2</v>
      </c>
      <c r="I69" s="19">
        <f>H69*($I$23+I62)</f>
        <v>48.374481999999993</v>
      </c>
    </row>
    <row r="70" spans="1:11">
      <c r="A70" s="1" t="s">
        <v>54</v>
      </c>
      <c r="B70" s="222" t="s">
        <v>100</v>
      </c>
      <c r="C70" s="222"/>
      <c r="D70" s="222"/>
      <c r="E70" s="222"/>
      <c r="F70" s="222"/>
      <c r="G70" s="222"/>
      <c r="H70" s="51">
        <f>H46*H69</f>
        <v>7.1392000000000009E-3</v>
      </c>
      <c r="I70" s="19">
        <f>H70*($I$23+I35)</f>
        <v>10.822241888000001</v>
      </c>
    </row>
    <row r="71" spans="1:11">
      <c r="A71" s="1" t="s">
        <v>56</v>
      </c>
      <c r="B71" s="201" t="s">
        <v>101</v>
      </c>
      <c r="C71" s="201"/>
      <c r="D71" s="201"/>
      <c r="E71" s="201"/>
      <c r="F71" s="201"/>
      <c r="G71" s="201"/>
      <c r="H71" s="20">
        <v>5.3E-3</v>
      </c>
      <c r="I71" s="19">
        <f>H71*($I$23+I35)</f>
        <v>8.0342169999999999</v>
      </c>
    </row>
    <row r="72" spans="1:11">
      <c r="A72" s="209" t="s">
        <v>102</v>
      </c>
      <c r="B72" s="209"/>
      <c r="C72" s="209"/>
      <c r="D72" s="209"/>
      <c r="E72" s="209"/>
      <c r="F72" s="209"/>
      <c r="G72" s="209"/>
      <c r="H72" s="13">
        <f>TRUNC(SUM(H66:H71),4)</f>
        <v>7.1499999999999994E-2</v>
      </c>
      <c r="I72" s="15">
        <f>TRUNC(SUM(I66:I71),2)</f>
        <v>129.85</v>
      </c>
    </row>
    <row r="73" spans="1:11">
      <c r="A73" s="223"/>
      <c r="B73" s="224"/>
      <c r="C73" s="224"/>
      <c r="D73" s="224"/>
      <c r="E73" s="224"/>
      <c r="F73" s="224"/>
      <c r="G73" s="224"/>
      <c r="H73" s="224"/>
      <c r="I73" s="224"/>
    </row>
    <row r="74" spans="1:11">
      <c r="A74" s="208" t="s">
        <v>103</v>
      </c>
      <c r="B74" s="208"/>
      <c r="C74" s="208"/>
      <c r="D74" s="208"/>
      <c r="E74" s="208"/>
      <c r="F74" s="208"/>
      <c r="G74" s="208"/>
      <c r="H74" s="208"/>
      <c r="I74" s="208"/>
      <c r="J74" s="17" t="s">
        <v>104</v>
      </c>
      <c r="K74" s="33">
        <f>I29+I62+I72</f>
        <v>2623.3799999999997</v>
      </c>
    </row>
    <row r="75" spans="1:11">
      <c r="A75" s="209" t="s">
        <v>105</v>
      </c>
      <c r="B75" s="209"/>
      <c r="C75" s="209"/>
      <c r="D75" s="209"/>
      <c r="E75" s="209"/>
      <c r="F75" s="209"/>
      <c r="G75" s="209"/>
      <c r="H75" s="1" t="s">
        <v>48</v>
      </c>
      <c r="I75" s="1" t="s">
        <v>49</v>
      </c>
    </row>
    <row r="76" spans="1:11">
      <c r="A76" s="1" t="s">
        <v>20</v>
      </c>
      <c r="B76" s="201" t="s">
        <v>106</v>
      </c>
      <c r="C76" s="201"/>
      <c r="D76" s="201"/>
      <c r="E76" s="201"/>
      <c r="F76" s="201"/>
      <c r="G76" s="201"/>
      <c r="H76" s="20">
        <v>8.3299999999999999E-2</v>
      </c>
      <c r="I76" s="19">
        <f>H76*$K$74</f>
        <v>218.52755399999998</v>
      </c>
    </row>
    <row r="77" spans="1:11">
      <c r="A77" s="1" t="s">
        <v>23</v>
      </c>
      <c r="B77" s="201" t="s">
        <v>107</v>
      </c>
      <c r="C77" s="201"/>
      <c r="D77" s="201"/>
      <c r="E77" s="201"/>
      <c r="F77" s="201"/>
      <c r="G77" s="201"/>
      <c r="H77" s="20">
        <v>8.2000000000000007E-3</v>
      </c>
      <c r="I77" s="19">
        <f t="shared" ref="I77:I81" si="1">H77*$K$74</f>
        <v>21.511716</v>
      </c>
    </row>
    <row r="78" spans="1:11">
      <c r="A78" s="1" t="s">
        <v>26</v>
      </c>
      <c r="B78" s="201" t="s">
        <v>108</v>
      </c>
      <c r="C78" s="201"/>
      <c r="D78" s="201"/>
      <c r="E78" s="201"/>
      <c r="F78" s="201"/>
      <c r="G78" s="201"/>
      <c r="H78" s="20">
        <v>8.0000000000000004E-4</v>
      </c>
      <c r="I78" s="19">
        <f t="shared" si="1"/>
        <v>2.0987039999999997</v>
      </c>
    </row>
    <row r="79" spans="1:11">
      <c r="A79" s="1" t="s">
        <v>29</v>
      </c>
      <c r="B79" s="201" t="s">
        <v>109</v>
      </c>
      <c r="C79" s="201"/>
      <c r="D79" s="201"/>
      <c r="E79" s="201"/>
      <c r="F79" s="201"/>
      <c r="G79" s="201"/>
      <c r="H79" s="20">
        <v>2.7000000000000001E-3</v>
      </c>
      <c r="I79" s="19">
        <f t="shared" si="1"/>
        <v>7.0831259999999991</v>
      </c>
    </row>
    <row r="80" spans="1:11">
      <c r="A80" s="1" t="s">
        <v>54</v>
      </c>
      <c r="B80" s="201" t="s">
        <v>110</v>
      </c>
      <c r="C80" s="201"/>
      <c r="D80" s="201"/>
      <c r="E80" s="201"/>
      <c r="F80" s="201"/>
      <c r="G80" s="201"/>
      <c r="H80" s="20">
        <v>6.9999999999999999E-4</v>
      </c>
      <c r="I80" s="19">
        <f t="shared" si="1"/>
        <v>1.8363659999999997</v>
      </c>
      <c r="K80" s="41"/>
    </row>
    <row r="81" spans="1:11">
      <c r="A81" s="1" t="s">
        <v>56</v>
      </c>
      <c r="B81" s="201" t="s">
        <v>111</v>
      </c>
      <c r="C81" s="201"/>
      <c r="D81" s="201"/>
      <c r="E81" s="201"/>
      <c r="F81" s="201"/>
      <c r="G81" s="201"/>
      <c r="H81" s="20">
        <v>1.66E-2</v>
      </c>
      <c r="I81" s="19">
        <f t="shared" si="1"/>
        <v>43.548107999999992</v>
      </c>
      <c r="K81" s="42"/>
    </row>
    <row r="82" spans="1:11">
      <c r="A82" s="209" t="s">
        <v>112</v>
      </c>
      <c r="B82" s="209"/>
      <c r="C82" s="209"/>
      <c r="D82" s="209"/>
      <c r="E82" s="209"/>
      <c r="F82" s="209"/>
      <c r="G82" s="209"/>
      <c r="H82" s="13">
        <f>TRUNC(SUM(H76:H81),4)</f>
        <v>0.1123</v>
      </c>
      <c r="I82" s="15">
        <f>TRUNC(SUM(I76:I81),2)</f>
        <v>294.60000000000002</v>
      </c>
      <c r="K82" s="42"/>
    </row>
    <row r="83" spans="1:11">
      <c r="A83" s="225"/>
      <c r="B83" s="226"/>
      <c r="C83" s="226"/>
      <c r="D83" s="226"/>
      <c r="E83" s="226"/>
      <c r="F83" s="226"/>
      <c r="G83" s="226"/>
      <c r="H83" s="226"/>
      <c r="I83" s="226"/>
    </row>
    <row r="84" spans="1:11">
      <c r="A84" s="209" t="s">
        <v>113</v>
      </c>
      <c r="B84" s="209"/>
      <c r="C84" s="209"/>
      <c r="D84" s="209"/>
      <c r="E84" s="209"/>
      <c r="F84" s="209"/>
      <c r="G84" s="209"/>
      <c r="H84" s="1" t="s">
        <v>48</v>
      </c>
      <c r="I84" s="1" t="s">
        <v>49</v>
      </c>
    </row>
    <row r="85" spans="1:11">
      <c r="A85" s="1" t="s">
        <v>20</v>
      </c>
      <c r="B85" s="201" t="s">
        <v>114</v>
      </c>
      <c r="C85" s="201"/>
      <c r="D85" s="201"/>
      <c r="E85" s="201"/>
      <c r="F85" s="201"/>
      <c r="G85" s="201"/>
      <c r="H85" s="20">
        <v>0</v>
      </c>
      <c r="I85" s="19">
        <v>0</v>
      </c>
    </row>
    <row r="86" spans="1:11">
      <c r="A86" s="209" t="s">
        <v>115</v>
      </c>
      <c r="B86" s="209"/>
      <c r="C86" s="209"/>
      <c r="D86" s="209"/>
      <c r="E86" s="209"/>
      <c r="F86" s="209"/>
      <c r="G86" s="209"/>
      <c r="H86" s="13">
        <f>TRUNC(SUM(H85),4)</f>
        <v>0</v>
      </c>
      <c r="I86" s="15">
        <f>TRUNC(SUM(I85),2)</f>
        <v>0</v>
      </c>
    </row>
    <row r="87" spans="1:11">
      <c r="A87" s="227"/>
      <c r="B87" s="228"/>
      <c r="C87" s="228"/>
      <c r="D87" s="228"/>
      <c r="E87" s="228"/>
      <c r="F87" s="228"/>
      <c r="G87" s="228"/>
      <c r="H87" s="228"/>
      <c r="I87" s="228"/>
    </row>
    <row r="88" spans="1:11">
      <c r="A88" s="219" t="s">
        <v>116</v>
      </c>
      <c r="B88" s="219"/>
      <c r="C88" s="219"/>
      <c r="D88" s="219"/>
      <c r="E88" s="219"/>
      <c r="F88" s="219"/>
      <c r="G88" s="219"/>
      <c r="H88" s="219"/>
      <c r="I88" s="219"/>
    </row>
    <row r="89" spans="1:11">
      <c r="A89" s="209" t="s">
        <v>117</v>
      </c>
      <c r="B89" s="209"/>
      <c r="C89" s="209"/>
      <c r="D89" s="209"/>
      <c r="E89" s="209"/>
      <c r="F89" s="209"/>
      <c r="G89" s="209"/>
      <c r="H89" s="209"/>
      <c r="I89" s="1" t="s">
        <v>49</v>
      </c>
    </row>
    <row r="90" spans="1:11">
      <c r="A90" s="1" t="s">
        <v>118</v>
      </c>
      <c r="B90" s="199" t="s">
        <v>119</v>
      </c>
      <c r="C90" s="199"/>
      <c r="D90" s="199"/>
      <c r="E90" s="199"/>
      <c r="F90" s="199"/>
      <c r="G90" s="199"/>
      <c r="H90" s="199"/>
      <c r="I90" s="19">
        <f>I82</f>
        <v>294.60000000000002</v>
      </c>
    </row>
    <row r="91" spans="1:11">
      <c r="A91" s="1" t="s">
        <v>120</v>
      </c>
      <c r="B91" s="199" t="s">
        <v>121</v>
      </c>
      <c r="C91" s="199"/>
      <c r="D91" s="199"/>
      <c r="E91" s="199"/>
      <c r="F91" s="199"/>
      <c r="G91" s="199"/>
      <c r="H91" s="199"/>
      <c r="I91" s="19">
        <f>I86</f>
        <v>0</v>
      </c>
    </row>
    <row r="92" spans="1:11">
      <c r="A92" s="209" t="s">
        <v>122</v>
      </c>
      <c r="B92" s="209"/>
      <c r="C92" s="209"/>
      <c r="D92" s="209"/>
      <c r="E92" s="209"/>
      <c r="F92" s="209"/>
      <c r="G92" s="209"/>
      <c r="H92" s="209"/>
      <c r="I92" s="15">
        <f>TRUNC(SUM(I90:I91),2)</f>
        <v>294.60000000000002</v>
      </c>
    </row>
    <row r="93" spans="1:11">
      <c r="A93" s="220"/>
      <c r="B93" s="221"/>
      <c r="C93" s="221"/>
      <c r="D93" s="221"/>
      <c r="E93" s="221"/>
      <c r="F93" s="221"/>
      <c r="G93" s="221"/>
      <c r="H93" s="221"/>
      <c r="I93" s="221"/>
    </row>
    <row r="94" spans="1:11">
      <c r="A94" s="208" t="s">
        <v>123</v>
      </c>
      <c r="B94" s="208"/>
      <c r="C94" s="208"/>
      <c r="D94" s="208"/>
      <c r="E94" s="208"/>
      <c r="F94" s="208"/>
      <c r="G94" s="208"/>
      <c r="H94" s="208"/>
      <c r="I94" s="208"/>
    </row>
    <row r="95" spans="1:11">
      <c r="A95" s="1">
        <v>5</v>
      </c>
      <c r="B95" s="209" t="s">
        <v>124</v>
      </c>
      <c r="C95" s="209"/>
      <c r="D95" s="209"/>
      <c r="E95" s="209"/>
      <c r="F95" s="209"/>
      <c r="G95" s="209"/>
      <c r="H95" s="1"/>
      <c r="I95" s="1" t="s">
        <v>49</v>
      </c>
    </row>
    <row r="96" spans="1:11">
      <c r="A96" s="1" t="s">
        <v>20</v>
      </c>
      <c r="B96" s="214" t="s">
        <v>125</v>
      </c>
      <c r="C96" s="215"/>
      <c r="D96" s="215"/>
      <c r="E96" s="215"/>
      <c r="F96" s="215"/>
      <c r="G96" s="215"/>
      <c r="H96" s="2" t="s">
        <v>22</v>
      </c>
      <c r="I96" s="19">
        <f>INSUMOS!L31</f>
        <v>24.004999999999995</v>
      </c>
    </row>
    <row r="97" spans="1:9">
      <c r="A97" s="1" t="s">
        <v>23</v>
      </c>
      <c r="B97" s="214" t="s">
        <v>126</v>
      </c>
      <c r="C97" s="215"/>
      <c r="D97" s="215"/>
      <c r="E97" s="215"/>
      <c r="F97" s="215"/>
      <c r="G97" s="215"/>
      <c r="H97" s="2" t="s">
        <v>22</v>
      </c>
      <c r="I97" s="19">
        <f>INSUMOS!L115</f>
        <v>1139.4699999999996</v>
      </c>
    </row>
    <row r="98" spans="1:9">
      <c r="A98" s="14" t="s">
        <v>26</v>
      </c>
      <c r="B98" s="215" t="s">
        <v>127</v>
      </c>
      <c r="C98" s="215"/>
      <c r="D98" s="215"/>
      <c r="E98" s="215"/>
      <c r="F98" s="215"/>
      <c r="G98" s="215"/>
      <c r="H98" s="2" t="s">
        <v>22</v>
      </c>
      <c r="I98" s="19">
        <f>INSUMOS!L132</f>
        <v>3.6095515151515154</v>
      </c>
    </row>
    <row r="99" spans="1:9">
      <c r="A99" s="14" t="s">
        <v>29</v>
      </c>
      <c r="B99" s="214" t="s">
        <v>128</v>
      </c>
      <c r="C99" s="215"/>
      <c r="D99" s="215"/>
      <c r="E99" s="215"/>
      <c r="F99" s="215"/>
      <c r="G99" s="215"/>
      <c r="H99" s="2" t="s">
        <v>22</v>
      </c>
      <c r="I99" s="19">
        <v>0</v>
      </c>
    </row>
    <row r="100" spans="1:9">
      <c r="A100" s="209" t="s">
        <v>129</v>
      </c>
      <c r="B100" s="209"/>
      <c r="C100" s="209"/>
      <c r="D100" s="209"/>
      <c r="E100" s="209"/>
      <c r="F100" s="209"/>
      <c r="G100" s="209"/>
      <c r="H100" s="13" t="s">
        <v>22</v>
      </c>
      <c r="I100" s="15">
        <f>TRUNC(SUM(I96:I99),2)</f>
        <v>1167.08</v>
      </c>
    </row>
    <row r="101" spans="1:9">
      <c r="A101" s="220"/>
      <c r="B101" s="221"/>
      <c r="C101" s="221"/>
      <c r="D101" s="221"/>
      <c r="E101" s="221"/>
      <c r="F101" s="221"/>
      <c r="G101" s="221"/>
      <c r="H101" s="221"/>
      <c r="I101" s="221"/>
    </row>
    <row r="102" spans="1:9">
      <c r="A102" s="208" t="s">
        <v>130</v>
      </c>
      <c r="B102" s="208"/>
      <c r="C102" s="208"/>
      <c r="D102" s="208"/>
      <c r="E102" s="208"/>
      <c r="F102" s="208"/>
      <c r="G102" s="208"/>
      <c r="H102" s="208"/>
      <c r="I102" s="208"/>
    </row>
    <row r="103" spans="1:9">
      <c r="A103" s="1">
        <v>6</v>
      </c>
      <c r="B103" s="209" t="s">
        <v>131</v>
      </c>
      <c r="C103" s="209"/>
      <c r="D103" s="209"/>
      <c r="E103" s="209"/>
      <c r="F103" s="209"/>
      <c r="G103" s="209"/>
      <c r="H103" s="1" t="s">
        <v>48</v>
      </c>
      <c r="I103" s="1" t="s">
        <v>49</v>
      </c>
    </row>
    <row r="104" spans="1:9">
      <c r="A104" s="1" t="s">
        <v>20</v>
      </c>
      <c r="B104" s="201" t="s">
        <v>132</v>
      </c>
      <c r="C104" s="201"/>
      <c r="D104" s="201"/>
      <c r="E104" s="201"/>
      <c r="F104" s="201"/>
      <c r="G104" s="201"/>
      <c r="H104" s="36">
        <v>0.03</v>
      </c>
      <c r="I104" s="19">
        <f>TRUNC(H104*I128,2)</f>
        <v>122.55</v>
      </c>
    </row>
    <row r="105" spans="1:9">
      <c r="A105" s="1" t="s">
        <v>23</v>
      </c>
      <c r="B105" s="201" t="s">
        <v>133</v>
      </c>
      <c r="C105" s="201"/>
      <c r="D105" s="201"/>
      <c r="E105" s="201"/>
      <c r="F105" s="201"/>
      <c r="G105" s="201"/>
      <c r="H105" s="37">
        <v>6.7900000000000002E-2</v>
      </c>
      <c r="I105" s="19">
        <f>TRUNC(H105*(I104+I128),2)</f>
        <v>285.69</v>
      </c>
    </row>
    <row r="106" spans="1:9">
      <c r="A106" s="1" t="s">
        <v>26</v>
      </c>
      <c r="B106" s="229" t="s">
        <v>134</v>
      </c>
      <c r="C106" s="229"/>
      <c r="D106" s="229"/>
      <c r="E106" s="229"/>
      <c r="F106" s="229"/>
      <c r="G106" s="229"/>
      <c r="H106" s="34"/>
      <c r="I106" s="29"/>
    </row>
    <row r="107" spans="1:9">
      <c r="A107" s="1" t="s">
        <v>135</v>
      </c>
      <c r="B107" s="201" t="s">
        <v>136</v>
      </c>
      <c r="C107" s="201"/>
      <c r="D107" s="201"/>
      <c r="E107" s="201"/>
      <c r="F107" s="201"/>
      <c r="G107" s="201"/>
      <c r="H107" s="38">
        <v>6.4999999999999997E-3</v>
      </c>
      <c r="I107" s="19">
        <f>H107*I117</f>
        <v>31.972005000000003</v>
      </c>
    </row>
    <row r="108" spans="1:9">
      <c r="A108" s="1" t="s">
        <v>137</v>
      </c>
      <c r="B108" s="201" t="s">
        <v>138</v>
      </c>
      <c r="C108" s="201"/>
      <c r="D108" s="201"/>
      <c r="E108" s="201"/>
      <c r="F108" s="201"/>
      <c r="G108" s="201"/>
      <c r="H108" s="39">
        <v>0.03</v>
      </c>
      <c r="I108" s="19">
        <f>H108*I117</f>
        <v>147.56310000000002</v>
      </c>
    </row>
    <row r="109" spans="1:9">
      <c r="A109" s="1" t="s">
        <v>139</v>
      </c>
      <c r="B109" s="201" t="s">
        <v>140</v>
      </c>
      <c r="C109" s="201"/>
      <c r="D109" s="201"/>
      <c r="E109" s="201"/>
      <c r="F109" s="201"/>
      <c r="G109" s="201"/>
      <c r="H109" s="40">
        <v>0.05</v>
      </c>
      <c r="I109" s="19">
        <f>H109*I117</f>
        <v>245.93850000000003</v>
      </c>
    </row>
    <row r="110" spans="1:9">
      <c r="A110" s="209" t="s">
        <v>141</v>
      </c>
      <c r="B110" s="209"/>
      <c r="C110" s="209"/>
      <c r="D110" s="209"/>
      <c r="E110" s="209"/>
      <c r="F110" s="209"/>
      <c r="G110" s="209"/>
      <c r="H110" s="38"/>
      <c r="I110" s="15">
        <f>TRUNC(SUM(I104:I109),2)</f>
        <v>833.71</v>
      </c>
    </row>
    <row r="111" spans="1:9">
      <c r="A111" s="10"/>
      <c r="B111" s="230"/>
      <c r="C111" s="230"/>
      <c r="D111" s="230"/>
      <c r="E111" s="230"/>
      <c r="F111" s="230"/>
      <c r="G111" s="230"/>
      <c r="H111" s="230"/>
      <c r="I111" s="230"/>
    </row>
    <row r="112" spans="1:9">
      <c r="A112" s="21" t="s">
        <v>142</v>
      </c>
      <c r="B112" s="231" t="s">
        <v>143</v>
      </c>
      <c r="C112" s="231"/>
      <c r="D112" s="231"/>
      <c r="E112" s="231"/>
      <c r="F112" s="231"/>
      <c r="G112" s="231"/>
      <c r="H112" s="22">
        <f>TRUNC(H107+H108+H109,4)</f>
        <v>8.6499999999999994E-2</v>
      </c>
      <c r="I112" s="30"/>
    </row>
    <row r="113" spans="1:11">
      <c r="A113" s="23"/>
      <c r="B113" s="232">
        <v>100</v>
      </c>
      <c r="C113" s="232"/>
      <c r="D113" s="232"/>
      <c r="E113" s="232"/>
      <c r="F113" s="232"/>
      <c r="G113" s="232"/>
      <c r="H113" s="25"/>
      <c r="I113" s="31"/>
    </row>
    <row r="114" spans="1:11">
      <c r="A114" s="26"/>
      <c r="B114" s="24"/>
      <c r="C114" s="24"/>
      <c r="D114" s="24"/>
      <c r="E114" s="24"/>
      <c r="F114" s="24"/>
      <c r="G114" s="24"/>
      <c r="H114" s="25"/>
      <c r="I114" s="31"/>
    </row>
    <row r="115" spans="1:11">
      <c r="A115" s="23" t="s">
        <v>144</v>
      </c>
      <c r="B115" s="232" t="s">
        <v>145</v>
      </c>
      <c r="C115" s="232"/>
      <c r="D115" s="232"/>
      <c r="E115" s="232"/>
      <c r="F115" s="232"/>
      <c r="G115" s="232"/>
      <c r="H115" s="25"/>
      <c r="I115" s="31">
        <f>TRUNC(I128+I104+I105,2)</f>
        <v>4493.3</v>
      </c>
    </row>
    <row r="116" spans="1:11">
      <c r="A116" s="23"/>
      <c r="B116" s="24"/>
      <c r="C116" s="24"/>
      <c r="D116" s="24"/>
      <c r="E116" s="24"/>
      <c r="F116" s="24"/>
      <c r="G116" s="24"/>
      <c r="H116" s="25"/>
      <c r="I116" s="31"/>
    </row>
    <row r="117" spans="1:11">
      <c r="A117" s="23" t="s">
        <v>146</v>
      </c>
      <c r="B117" s="232" t="s">
        <v>147</v>
      </c>
      <c r="C117" s="232"/>
      <c r="D117" s="232"/>
      <c r="E117" s="232"/>
      <c r="F117" s="232"/>
      <c r="G117" s="232"/>
      <c r="H117" s="25"/>
      <c r="I117" s="31">
        <f>TRUNC(I115/(1-H112),2)</f>
        <v>4918.7700000000004</v>
      </c>
    </row>
    <row r="118" spans="1:11">
      <c r="A118" s="23"/>
      <c r="B118" s="24"/>
      <c r="C118" s="24"/>
      <c r="D118" s="24"/>
      <c r="E118" s="24"/>
      <c r="F118" s="24"/>
      <c r="G118" s="24"/>
      <c r="H118" s="25"/>
      <c r="I118" s="31"/>
    </row>
    <row r="119" spans="1:11">
      <c r="A119" s="27"/>
      <c r="B119" s="233" t="s">
        <v>148</v>
      </c>
      <c r="C119" s="233"/>
      <c r="D119" s="233"/>
      <c r="E119" s="233"/>
      <c r="F119" s="233"/>
      <c r="G119" s="233"/>
      <c r="H119" s="28"/>
      <c r="I119" s="32">
        <f>TRUNC(I117-I115,2)</f>
        <v>425.47</v>
      </c>
      <c r="K119" s="41"/>
    </row>
    <row r="120" spans="1:11">
      <c r="A120" s="10"/>
      <c r="B120" s="10"/>
      <c r="C120" s="10"/>
      <c r="D120" s="10"/>
      <c r="E120" s="10"/>
      <c r="F120" s="10"/>
      <c r="G120" s="10"/>
      <c r="H120" s="10"/>
      <c r="I120" s="16"/>
    </row>
    <row r="121" spans="1:11">
      <c r="A121" s="219" t="s">
        <v>149</v>
      </c>
      <c r="B121" s="219"/>
      <c r="C121" s="219"/>
      <c r="D121" s="219"/>
      <c r="E121" s="219"/>
      <c r="F121" s="219"/>
      <c r="G121" s="219"/>
      <c r="H121" s="219"/>
      <c r="I121" s="219"/>
      <c r="K121" s="33"/>
    </row>
    <row r="122" spans="1:11">
      <c r="A122" s="209" t="s">
        <v>150</v>
      </c>
      <c r="B122" s="209"/>
      <c r="C122" s="209"/>
      <c r="D122" s="209"/>
      <c r="E122" s="209"/>
      <c r="F122" s="209"/>
      <c r="G122" s="209"/>
      <c r="H122" s="209"/>
      <c r="I122" s="1" t="s">
        <v>49</v>
      </c>
    </row>
    <row r="123" spans="1:11">
      <c r="A123" s="2" t="s">
        <v>20</v>
      </c>
      <c r="B123" s="201" t="str">
        <f>A21</f>
        <v>MÓDULO 1 - COMPOSIÇÃO DA REMUNERAÇÃO</v>
      </c>
      <c r="C123" s="201"/>
      <c r="D123" s="201"/>
      <c r="E123" s="201"/>
      <c r="F123" s="201"/>
      <c r="G123" s="201"/>
      <c r="H123" s="201"/>
      <c r="I123" s="19">
        <f>I29</f>
        <v>1361.26</v>
      </c>
    </row>
    <row r="124" spans="1:11">
      <c r="A124" s="2" t="s">
        <v>23</v>
      </c>
      <c r="B124" s="201" t="str">
        <f>A31</f>
        <v>MÓDULO 2 – ENCARGOS E BENEFÍCIOS ANUAIS, MENSAIS E DIÁRIOS</v>
      </c>
      <c r="C124" s="201"/>
      <c r="D124" s="201"/>
      <c r="E124" s="201"/>
      <c r="F124" s="201"/>
      <c r="G124" s="201"/>
      <c r="H124" s="201"/>
      <c r="I124" s="19">
        <f>I62</f>
        <v>1132.27</v>
      </c>
    </row>
    <row r="125" spans="1:11">
      <c r="A125" s="2" t="s">
        <v>26</v>
      </c>
      <c r="B125" s="201" t="str">
        <f>A64</f>
        <v>MÓDULO 3 – PROVISÃO PARA RESCISÃO</v>
      </c>
      <c r="C125" s="201"/>
      <c r="D125" s="201"/>
      <c r="E125" s="201"/>
      <c r="F125" s="201"/>
      <c r="G125" s="201"/>
      <c r="H125" s="201"/>
      <c r="I125" s="19">
        <f>I72</f>
        <v>129.85</v>
      </c>
      <c r="K125" s="33"/>
    </row>
    <row r="126" spans="1:11">
      <c r="A126" s="2" t="s">
        <v>29</v>
      </c>
      <c r="B126" s="201" t="str">
        <f>A74</f>
        <v>MÓDULO 4 – CUSTO DE REPOSIÇÃO DO PROFISSIONAL AUSENTE</v>
      </c>
      <c r="C126" s="201"/>
      <c r="D126" s="201"/>
      <c r="E126" s="201"/>
      <c r="F126" s="201"/>
      <c r="G126" s="201"/>
      <c r="H126" s="201"/>
      <c r="I126" s="19">
        <f>I92</f>
        <v>294.60000000000002</v>
      </c>
      <c r="K126" s="33"/>
    </row>
    <row r="127" spans="1:11">
      <c r="A127" s="2" t="s">
        <v>54</v>
      </c>
      <c r="B127" s="201" t="str">
        <f>A94</f>
        <v>MÓDULO 5 – INSUMOS DIVERSOS</v>
      </c>
      <c r="C127" s="201"/>
      <c r="D127" s="201"/>
      <c r="E127" s="201"/>
      <c r="F127" s="201"/>
      <c r="G127" s="201"/>
      <c r="H127" s="201"/>
      <c r="I127" s="19">
        <f>I100</f>
        <v>1167.08</v>
      </c>
    </row>
    <row r="128" spans="1:11">
      <c r="A128" s="1"/>
      <c r="B128" s="209" t="s">
        <v>151</v>
      </c>
      <c r="C128" s="209"/>
      <c r="D128" s="209"/>
      <c r="E128" s="209"/>
      <c r="F128" s="209"/>
      <c r="G128" s="209"/>
      <c r="H128" s="209"/>
      <c r="I128" s="15">
        <f>TRUNC(SUM(I123:I127),2)</f>
        <v>4085.06</v>
      </c>
      <c r="K128" s="41"/>
    </row>
    <row r="129" spans="1:9">
      <c r="A129" s="2" t="s">
        <v>56</v>
      </c>
      <c r="B129" s="201" t="str">
        <f>A102</f>
        <v>MÓDULO 6 – CUSTOS INDIRETOS, TRIBUTOS E LUCRO</v>
      </c>
      <c r="C129" s="201"/>
      <c r="D129" s="201"/>
      <c r="E129" s="201"/>
      <c r="F129" s="201"/>
      <c r="G129" s="201"/>
      <c r="H129" s="201"/>
      <c r="I129" s="19">
        <f>I110</f>
        <v>833.71</v>
      </c>
    </row>
    <row r="130" spans="1:9">
      <c r="A130" s="209" t="s">
        <v>152</v>
      </c>
      <c r="B130" s="209"/>
      <c r="C130" s="209"/>
      <c r="D130" s="209"/>
      <c r="E130" s="209"/>
      <c r="F130" s="209"/>
      <c r="G130" s="209"/>
      <c r="H130" s="209"/>
      <c r="I130" s="15">
        <f>TRUNC(SUM(I128:I129),2)</f>
        <v>4918.7700000000004</v>
      </c>
    </row>
    <row r="131" spans="1:9" hidden="1">
      <c r="A131" s="209" t="s">
        <v>153</v>
      </c>
      <c r="B131" s="209"/>
      <c r="C131" s="209"/>
      <c r="D131" s="235">
        <v>0</v>
      </c>
      <c r="E131" s="236"/>
      <c r="F131" s="236"/>
      <c r="G131" s="236"/>
      <c r="H131" s="236"/>
      <c r="I131" s="237"/>
    </row>
    <row r="132" spans="1:9" hidden="1">
      <c r="A132" s="2"/>
      <c r="B132" s="199" t="s">
        <v>154</v>
      </c>
      <c r="C132" s="199"/>
      <c r="D132" s="199"/>
      <c r="E132" s="199"/>
      <c r="F132" s="199"/>
      <c r="G132" s="199"/>
      <c r="H132" s="1"/>
      <c r="I132" s="1"/>
    </row>
    <row r="133" spans="1:9" ht="40.5" hidden="1" customHeight="1">
      <c r="A133" s="234" t="s">
        <v>155</v>
      </c>
      <c r="B133" s="234"/>
      <c r="C133" s="234" t="s">
        <v>156</v>
      </c>
      <c r="D133" s="234"/>
      <c r="E133" s="234" t="s">
        <v>157</v>
      </c>
      <c r="F133" s="234"/>
      <c r="G133" s="43" t="s">
        <v>158</v>
      </c>
      <c r="H133" s="43" t="s">
        <v>159</v>
      </c>
      <c r="I133" s="1" t="s">
        <v>49</v>
      </c>
    </row>
    <row r="134" spans="1:9" hidden="1">
      <c r="A134" s="199" t="s">
        <v>160</v>
      </c>
      <c r="B134" s="199"/>
      <c r="C134" s="201" t="s">
        <v>161</v>
      </c>
      <c r="D134" s="201"/>
      <c r="E134" s="199"/>
      <c r="F134" s="199"/>
      <c r="G134" s="5" t="s">
        <v>161</v>
      </c>
      <c r="H134" s="5"/>
      <c r="I134" s="19">
        <v>0</v>
      </c>
    </row>
    <row r="135" spans="1:9" hidden="1">
      <c r="A135" s="199" t="s">
        <v>162</v>
      </c>
      <c r="B135" s="199"/>
      <c r="C135" s="201" t="s">
        <v>161</v>
      </c>
      <c r="D135" s="201"/>
      <c r="E135" s="199"/>
      <c r="F135" s="199"/>
      <c r="G135" s="5" t="s">
        <v>161</v>
      </c>
      <c r="H135" s="5"/>
      <c r="I135" s="19">
        <v>0</v>
      </c>
    </row>
    <row r="136" spans="1:9" hidden="1">
      <c r="A136" s="199" t="s">
        <v>163</v>
      </c>
      <c r="B136" s="199"/>
      <c r="C136" s="201" t="s">
        <v>161</v>
      </c>
      <c r="D136" s="201"/>
      <c r="E136" s="199"/>
      <c r="F136" s="199"/>
      <c r="G136" s="5" t="s">
        <v>161</v>
      </c>
      <c r="H136" s="5"/>
      <c r="I136" s="19">
        <v>0</v>
      </c>
    </row>
    <row r="137" spans="1:9" hidden="1">
      <c r="A137" s="199" t="s">
        <v>164</v>
      </c>
      <c r="B137" s="199"/>
      <c r="C137" s="201" t="s">
        <v>161</v>
      </c>
      <c r="D137" s="201"/>
      <c r="E137" s="199"/>
      <c r="F137" s="199"/>
      <c r="G137" s="5" t="s">
        <v>161</v>
      </c>
      <c r="H137" s="5"/>
      <c r="I137" s="19">
        <v>0</v>
      </c>
    </row>
    <row r="138" spans="1:9" hidden="1">
      <c r="A138" s="209"/>
      <c r="B138" s="209"/>
      <c r="C138" s="199"/>
      <c r="D138" s="199"/>
      <c r="E138" s="199"/>
      <c r="F138" s="199"/>
      <c r="G138" s="8"/>
      <c r="H138" s="8"/>
      <c r="I138" s="19"/>
    </row>
    <row r="139" spans="1:9" hidden="1">
      <c r="A139" s="209"/>
      <c r="B139" s="209"/>
      <c r="C139" s="199"/>
      <c r="D139" s="199"/>
      <c r="E139" s="199"/>
      <c r="F139" s="199"/>
      <c r="G139" s="5"/>
      <c r="H139" s="5"/>
      <c r="I139" s="19"/>
    </row>
    <row r="140" spans="1:9" hidden="1">
      <c r="A140" s="209" t="s">
        <v>165</v>
      </c>
      <c r="B140" s="209"/>
      <c r="C140" s="209"/>
      <c r="D140" s="209"/>
      <c r="E140" s="209"/>
      <c r="F140" s="209"/>
      <c r="G140" s="209"/>
      <c r="H140" s="209"/>
      <c r="I140" s="15">
        <f>SUM(I138:I139)</f>
        <v>0</v>
      </c>
    </row>
    <row r="141" spans="1:9" hidden="1">
      <c r="A141" s="5"/>
      <c r="B141" s="5"/>
      <c r="C141" s="5"/>
      <c r="D141" s="5"/>
      <c r="E141" s="5"/>
      <c r="F141" s="5"/>
      <c r="G141" s="5"/>
      <c r="H141" s="5"/>
      <c r="I141" s="5"/>
    </row>
    <row r="142" spans="1:9" hidden="1">
      <c r="A142" s="2" t="s">
        <v>166</v>
      </c>
      <c r="B142" s="199" t="s">
        <v>167</v>
      </c>
      <c r="C142" s="199"/>
      <c r="D142" s="199"/>
      <c r="E142" s="199"/>
      <c r="F142" s="199"/>
      <c r="G142" s="199"/>
      <c r="H142" s="1"/>
      <c r="I142" s="1"/>
    </row>
    <row r="143" spans="1:9" hidden="1">
      <c r="A143" s="209" t="s">
        <v>168</v>
      </c>
      <c r="B143" s="209"/>
      <c r="C143" s="209"/>
      <c r="D143" s="209"/>
      <c r="E143" s="209"/>
      <c r="F143" s="209"/>
      <c r="G143" s="209"/>
      <c r="H143" s="209"/>
      <c r="I143" s="209"/>
    </row>
    <row r="144" spans="1:9" hidden="1">
      <c r="A144" s="2"/>
      <c r="B144" s="229" t="s">
        <v>3</v>
      </c>
      <c r="C144" s="229"/>
      <c r="D144" s="229"/>
      <c r="E144" s="229"/>
      <c r="F144" s="229"/>
      <c r="G144" s="229"/>
      <c r="H144" s="229"/>
      <c r="I144" s="1" t="s">
        <v>49</v>
      </c>
    </row>
    <row r="145" spans="1:9" hidden="1">
      <c r="A145" s="2" t="s">
        <v>20</v>
      </c>
      <c r="B145" s="201" t="s">
        <v>169</v>
      </c>
      <c r="C145" s="201"/>
      <c r="D145" s="201"/>
      <c r="E145" s="201"/>
      <c r="F145" s="201"/>
      <c r="G145" s="201"/>
      <c r="H145" s="201"/>
      <c r="I145" s="19">
        <f>I107</f>
        <v>31.972005000000003</v>
      </c>
    </row>
    <row r="146" spans="1:9" hidden="1">
      <c r="A146" s="2" t="s">
        <v>23</v>
      </c>
      <c r="B146" s="201" t="s">
        <v>170</v>
      </c>
      <c r="C146" s="201"/>
      <c r="D146" s="201"/>
      <c r="E146" s="201"/>
      <c r="F146" s="201"/>
      <c r="G146" s="201"/>
      <c r="H146" s="201"/>
      <c r="I146" s="19" t="e">
        <f>#REF!</f>
        <v>#REF!</v>
      </c>
    </row>
    <row r="147" spans="1:9" hidden="1">
      <c r="A147" s="2" t="s">
        <v>26</v>
      </c>
      <c r="B147" s="201" t="s">
        <v>171</v>
      </c>
      <c r="C147" s="201"/>
      <c r="D147" s="201"/>
      <c r="E147" s="201"/>
      <c r="F147" s="201"/>
      <c r="G147" s="201"/>
      <c r="H147" s="201"/>
      <c r="I147" s="19">
        <f>I110</f>
        <v>833.71</v>
      </c>
    </row>
    <row r="148" spans="1:9" hidden="1">
      <c r="A148" s="199" t="s">
        <v>172</v>
      </c>
      <c r="B148" s="199"/>
      <c r="C148" s="199"/>
      <c r="D148" s="199"/>
      <c r="E148" s="199"/>
      <c r="F148" s="199"/>
      <c r="G148" s="199"/>
      <c r="H148" s="199"/>
      <c r="I148" s="15" t="e">
        <f>SUM(I145:I147)</f>
        <v>#REF!</v>
      </c>
    </row>
    <row r="149" spans="1:9" hidden="1">
      <c r="A149" s="2" t="s">
        <v>173</v>
      </c>
      <c r="B149" s="5" t="s">
        <v>174</v>
      </c>
      <c r="C149" s="5"/>
      <c r="D149" s="5"/>
      <c r="E149" s="5"/>
      <c r="F149" s="5"/>
      <c r="G149" s="5"/>
      <c r="H149" s="5"/>
      <c r="I149" s="5"/>
    </row>
    <row r="150" spans="1:9" hidden="1">
      <c r="A150" s="5"/>
      <c r="B150" s="5"/>
      <c r="C150" s="5"/>
      <c r="D150" s="5"/>
      <c r="E150" s="5"/>
      <c r="F150" s="5"/>
      <c r="G150" s="5"/>
      <c r="H150" s="5"/>
      <c r="I150" s="5"/>
    </row>
    <row r="151" spans="1:9" hidden="1">
      <c r="A151" s="5"/>
      <c r="B151" s="5"/>
      <c r="C151" s="5"/>
      <c r="D151" s="5"/>
      <c r="E151" s="5"/>
      <c r="F151" s="5"/>
      <c r="G151" s="5"/>
      <c r="H151" s="5"/>
      <c r="I151" s="5"/>
    </row>
    <row r="152" spans="1:9" hidden="1">
      <c r="A152" s="209" t="s">
        <v>175</v>
      </c>
      <c r="B152" s="209"/>
      <c r="C152" s="209"/>
      <c r="D152" s="243">
        <f>D131*I130</f>
        <v>0</v>
      </c>
      <c r="E152" s="243"/>
      <c r="F152" s="243"/>
      <c r="G152" s="243"/>
      <c r="H152" s="243"/>
      <c r="I152" s="243"/>
    </row>
    <row r="153" spans="1:9">
      <c r="A153" s="11"/>
      <c r="B153" s="11"/>
      <c r="C153" s="11"/>
      <c r="D153" s="53"/>
      <c r="E153" s="53"/>
      <c r="F153" s="53"/>
      <c r="G153" s="53"/>
      <c r="H153" s="53"/>
      <c r="I153" s="53"/>
    </row>
    <row r="155" spans="1:9" ht="66" customHeight="1">
      <c r="A155" s="239" t="s">
        <v>176</v>
      </c>
      <c r="B155" s="240"/>
      <c r="C155" s="240"/>
      <c r="D155" s="240"/>
      <c r="E155" s="240"/>
      <c r="F155" s="240"/>
      <c r="G155" s="240"/>
      <c r="H155" s="240"/>
      <c r="I155" s="240"/>
    </row>
    <row r="156" spans="1:9" ht="12.75" customHeight="1">
      <c r="A156" s="46"/>
      <c r="B156" s="47"/>
      <c r="C156" s="47"/>
      <c r="D156" s="47"/>
      <c r="E156" s="47"/>
      <c r="F156" s="47"/>
      <c r="G156" s="47"/>
      <c r="H156" s="47"/>
      <c r="I156" s="47"/>
    </row>
    <row r="157" spans="1:9" ht="26.25" customHeight="1">
      <c r="A157" s="241" t="s">
        <v>177</v>
      </c>
      <c r="B157" s="242"/>
      <c r="C157" s="242"/>
      <c r="D157" s="242"/>
      <c r="E157" s="242"/>
      <c r="F157" s="242"/>
      <c r="G157" s="242"/>
      <c r="H157" s="242"/>
      <c r="I157" s="242"/>
    </row>
    <row r="159" spans="1:9" ht="28.5" customHeight="1">
      <c r="A159" s="238" t="s">
        <v>178</v>
      </c>
      <c r="B159" s="238"/>
      <c r="C159" s="238"/>
      <c r="D159" s="238"/>
      <c r="E159" s="238"/>
      <c r="F159" s="238"/>
      <c r="G159" s="238"/>
      <c r="H159" s="238"/>
    </row>
    <row r="162" spans="1:5">
      <c r="A162" s="17" t="s">
        <v>179</v>
      </c>
      <c r="B162" s="17">
        <f>I130/I123</f>
        <v>3.6133949429205297</v>
      </c>
    </row>
    <row r="163" spans="1:5">
      <c r="A163" s="33"/>
      <c r="B163" s="17"/>
      <c r="E163" s="42"/>
    </row>
    <row r="164" spans="1:5">
      <c r="A164" s="17" t="s">
        <v>180</v>
      </c>
      <c r="B164" s="17"/>
      <c r="C164" s="33">
        <f>1*'Servente com insumos'!I130</f>
        <v>4918.7700000000004</v>
      </c>
    </row>
    <row r="165" spans="1:5">
      <c r="A165" s="17" t="s">
        <v>181</v>
      </c>
      <c r="B165" s="17"/>
      <c r="C165" s="33">
        <f>2*H8*C164</f>
        <v>236100.96000000002</v>
      </c>
    </row>
    <row r="166" spans="1:5">
      <c r="A166" s="42"/>
    </row>
    <row r="167" spans="1:5">
      <c r="A167" s="42"/>
    </row>
  </sheetData>
  <mergeCells count="172">
    <mergeCell ref="A159:H159"/>
    <mergeCell ref="A155:I155"/>
    <mergeCell ref="A157:I157"/>
    <mergeCell ref="B147:H147"/>
    <mergeCell ref="A148:H148"/>
    <mergeCell ref="A152:C152"/>
    <mergeCell ref="D152:I152"/>
    <mergeCell ref="A139:B139"/>
    <mergeCell ref="C139:D139"/>
    <mergeCell ref="E139:F139"/>
    <mergeCell ref="A140:H140"/>
    <mergeCell ref="B142:G142"/>
    <mergeCell ref="A143:I143"/>
    <mergeCell ref="B144:H144"/>
    <mergeCell ref="B145:H145"/>
    <mergeCell ref="B146:H146"/>
    <mergeCell ref="A136:B136"/>
    <mergeCell ref="C136:D136"/>
    <mergeCell ref="E136:F136"/>
    <mergeCell ref="A137:B137"/>
    <mergeCell ref="C137:D137"/>
    <mergeCell ref="E137:F137"/>
    <mergeCell ref="A138:B138"/>
    <mergeCell ref="C138:D138"/>
    <mergeCell ref="E138:F138"/>
    <mergeCell ref="A130:H130"/>
    <mergeCell ref="B132:G132"/>
    <mergeCell ref="A133:B133"/>
    <mergeCell ref="C133:D133"/>
    <mergeCell ref="E133:F133"/>
    <mergeCell ref="A134:B134"/>
    <mergeCell ref="C134:D134"/>
    <mergeCell ref="E134:F134"/>
    <mergeCell ref="A135:B135"/>
    <mergeCell ref="C135:D135"/>
    <mergeCell ref="E135:F135"/>
    <mergeCell ref="A131:C131"/>
    <mergeCell ref="D131:I131"/>
    <mergeCell ref="A121:I121"/>
    <mergeCell ref="A122:H122"/>
    <mergeCell ref="B123:H123"/>
    <mergeCell ref="B124:H124"/>
    <mergeCell ref="B125:H125"/>
    <mergeCell ref="B126:H126"/>
    <mergeCell ref="B127:H127"/>
    <mergeCell ref="B128:H128"/>
    <mergeCell ref="B129:H129"/>
    <mergeCell ref="B108:G108"/>
    <mergeCell ref="B109:G109"/>
    <mergeCell ref="A110:G110"/>
    <mergeCell ref="B111:I111"/>
    <mergeCell ref="B112:G112"/>
    <mergeCell ref="B113:G113"/>
    <mergeCell ref="B115:G115"/>
    <mergeCell ref="B117:G117"/>
    <mergeCell ref="B119:G119"/>
    <mergeCell ref="B99:G99"/>
    <mergeCell ref="A100:G100"/>
    <mergeCell ref="A101:I101"/>
    <mergeCell ref="A102:I102"/>
    <mergeCell ref="B103:G103"/>
    <mergeCell ref="B104:G104"/>
    <mergeCell ref="B105:G105"/>
    <mergeCell ref="B106:G106"/>
    <mergeCell ref="B107:G107"/>
    <mergeCell ref="B90:H90"/>
    <mergeCell ref="B91:H91"/>
    <mergeCell ref="A92:H92"/>
    <mergeCell ref="A93:I93"/>
    <mergeCell ref="A94:I94"/>
    <mergeCell ref="B95:G95"/>
    <mergeCell ref="B96:G96"/>
    <mergeCell ref="B97:G97"/>
    <mergeCell ref="B98:G98"/>
    <mergeCell ref="B81:G81"/>
    <mergeCell ref="A82:G82"/>
    <mergeCell ref="A83:I83"/>
    <mergeCell ref="A84:G84"/>
    <mergeCell ref="B85:G85"/>
    <mergeCell ref="A86:G86"/>
    <mergeCell ref="A87:I87"/>
    <mergeCell ref="A88:I88"/>
    <mergeCell ref="A89:H89"/>
    <mergeCell ref="A72:G72"/>
    <mergeCell ref="A73:I73"/>
    <mergeCell ref="A74:I74"/>
    <mergeCell ref="A75:G75"/>
    <mergeCell ref="B76:G76"/>
    <mergeCell ref="B77:G77"/>
    <mergeCell ref="B78:G78"/>
    <mergeCell ref="B79:G79"/>
    <mergeCell ref="B80:G80"/>
    <mergeCell ref="A63:I63"/>
    <mergeCell ref="A64:I64"/>
    <mergeCell ref="B65:G65"/>
    <mergeCell ref="B66:G66"/>
    <mergeCell ref="B67:G67"/>
    <mergeCell ref="B68:G68"/>
    <mergeCell ref="B69:G69"/>
    <mergeCell ref="B70:G70"/>
    <mergeCell ref="B71:G71"/>
    <mergeCell ref="B54:G54"/>
    <mergeCell ref="A55:H55"/>
    <mergeCell ref="A56:I56"/>
    <mergeCell ref="A57:I57"/>
    <mergeCell ref="A58:H58"/>
    <mergeCell ref="B59:H59"/>
    <mergeCell ref="B60:H60"/>
    <mergeCell ref="B61:H61"/>
    <mergeCell ref="A62:H62"/>
    <mergeCell ref="B49:G49"/>
    <mergeCell ref="B50:G50"/>
    <mergeCell ref="B51:G51"/>
    <mergeCell ref="B52:G52"/>
    <mergeCell ref="B53:G53"/>
    <mergeCell ref="A37:G37"/>
    <mergeCell ref="B38:G38"/>
    <mergeCell ref="B39:G39"/>
    <mergeCell ref="B40:G40"/>
    <mergeCell ref="B41:G41"/>
    <mergeCell ref="B42:G42"/>
    <mergeCell ref="B43:G43"/>
    <mergeCell ref="B44:G44"/>
    <mergeCell ref="B45:G45"/>
    <mergeCell ref="A31:I31"/>
    <mergeCell ref="A32:G32"/>
    <mergeCell ref="B33:G33"/>
    <mergeCell ref="B34:G34"/>
    <mergeCell ref="A35:G35"/>
    <mergeCell ref="A36:I36"/>
    <mergeCell ref="A46:G46"/>
    <mergeCell ref="A47:I47"/>
    <mergeCell ref="A48:G48"/>
    <mergeCell ref="A21:I21"/>
    <mergeCell ref="B22:G22"/>
    <mergeCell ref="B23:G23"/>
    <mergeCell ref="B24:G24"/>
    <mergeCell ref="B25:G25"/>
    <mergeCell ref="B26:G26"/>
    <mergeCell ref="B27:G27"/>
    <mergeCell ref="B28:G28"/>
    <mergeCell ref="A29:H29"/>
    <mergeCell ref="B16:G16"/>
    <mergeCell ref="H16:I16"/>
    <mergeCell ref="B17:G17"/>
    <mergeCell ref="H17:I17"/>
    <mergeCell ref="B18:G18"/>
    <mergeCell ref="H18:I18"/>
    <mergeCell ref="B19:G19"/>
    <mergeCell ref="H19:I19"/>
    <mergeCell ref="A20:I20"/>
    <mergeCell ref="A1:I1"/>
    <mergeCell ref="A2:I2"/>
    <mergeCell ref="A4:I4"/>
    <mergeCell ref="B5:G5"/>
    <mergeCell ref="H5:I5"/>
    <mergeCell ref="B6:G6"/>
    <mergeCell ref="H6:I6"/>
    <mergeCell ref="B7:G7"/>
    <mergeCell ref="H7:I7"/>
    <mergeCell ref="A14:I14"/>
    <mergeCell ref="B15:G15"/>
    <mergeCell ref="H15:I15"/>
    <mergeCell ref="B8:G8"/>
    <mergeCell ref="H8:I8"/>
    <mergeCell ref="A10:I10"/>
    <mergeCell ref="A11:B11"/>
    <mergeCell ref="C11:D11"/>
    <mergeCell ref="E11:I11"/>
    <mergeCell ref="A12:B12"/>
    <mergeCell ref="C12:D12"/>
    <mergeCell ref="E12:I12"/>
  </mergeCells>
  <pageMargins left="0.39305555555555599" right="0.196527777777778" top="0.59027777777777801" bottom="0.39305555555555599" header="0.156944444444444" footer="0.156944444444444"/>
  <pageSetup paperSize="9" scale="66" firstPageNumber="0" fitToHeight="0"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1EA09-6E9E-4FDD-B35E-CE3D46C4DECA}">
  <sheetPr>
    <pageSetUpPr fitToPage="1"/>
  </sheetPr>
  <dimension ref="A1:K167"/>
  <sheetViews>
    <sheetView workbookViewId="0">
      <selection activeCell="A2" sqref="A2:K159"/>
    </sheetView>
  </sheetViews>
  <sheetFormatPr defaultColWidth="9.140625" defaultRowHeight="12.75"/>
  <cols>
    <col min="1" max="1" width="10" customWidth="1"/>
    <col min="2" max="2" width="11.42578125" customWidth="1"/>
    <col min="3" max="3" width="15" customWidth="1"/>
    <col min="4" max="4" width="14.140625" customWidth="1"/>
    <col min="5" max="5" width="17.5703125" customWidth="1"/>
    <col min="6" max="6" width="14.5703125" customWidth="1"/>
    <col min="7" max="7" width="19.140625" customWidth="1"/>
    <col min="8" max="8" width="11" bestFit="1" customWidth="1"/>
    <col min="9" max="9" width="13.42578125" customWidth="1"/>
    <col min="10" max="10" width="9.5703125" customWidth="1"/>
    <col min="11" max="11" width="14" customWidth="1"/>
    <col min="13" max="13" width="9.5703125" customWidth="1"/>
  </cols>
  <sheetData>
    <row r="1" spans="1:9">
      <c r="A1" s="202"/>
      <c r="B1" s="202"/>
      <c r="C1" s="202"/>
      <c r="D1" s="202"/>
      <c r="E1" s="202"/>
      <c r="F1" s="202"/>
      <c r="G1" s="202"/>
      <c r="H1" s="202"/>
      <c r="I1" s="202"/>
    </row>
    <row r="2" spans="1:9">
      <c r="A2" s="203" t="s">
        <v>521</v>
      </c>
      <c r="B2" s="203"/>
      <c r="C2" s="203"/>
      <c r="D2" s="203"/>
      <c r="E2" s="203"/>
      <c r="F2" s="203"/>
      <c r="G2" s="203"/>
      <c r="H2" s="203"/>
      <c r="I2" s="203"/>
    </row>
    <row r="3" spans="1:9">
      <c r="A3" s="9"/>
      <c r="B3" s="9"/>
      <c r="C3" s="9"/>
      <c r="D3" s="9"/>
      <c r="E3" s="9"/>
      <c r="F3" s="9"/>
      <c r="G3" s="9"/>
      <c r="H3" s="9"/>
      <c r="I3" s="9"/>
    </row>
    <row r="4" spans="1:9">
      <c r="A4" s="200" t="s">
        <v>19</v>
      </c>
      <c r="B4" s="200"/>
      <c r="C4" s="200"/>
      <c r="D4" s="200"/>
      <c r="E4" s="200"/>
      <c r="F4" s="200"/>
      <c r="G4" s="200"/>
      <c r="H4" s="200"/>
      <c r="I4" s="200"/>
    </row>
    <row r="5" spans="1:9">
      <c r="A5" s="2" t="s">
        <v>20</v>
      </c>
      <c r="B5" s="201" t="s">
        <v>21</v>
      </c>
      <c r="C5" s="201"/>
      <c r="D5" s="201"/>
      <c r="E5" s="201"/>
      <c r="F5" s="201"/>
      <c r="G5" s="201"/>
      <c r="H5" s="204" t="s">
        <v>22</v>
      </c>
      <c r="I5" s="199"/>
    </row>
    <row r="6" spans="1:9">
      <c r="A6" s="2" t="s">
        <v>23</v>
      </c>
      <c r="B6" s="201" t="s">
        <v>24</v>
      </c>
      <c r="C6" s="201"/>
      <c r="D6" s="201"/>
      <c r="E6" s="201"/>
      <c r="F6" s="201"/>
      <c r="G6" s="201"/>
      <c r="H6" s="199" t="s">
        <v>25</v>
      </c>
      <c r="I6" s="199"/>
    </row>
    <row r="7" spans="1:9">
      <c r="A7" s="2" t="s">
        <v>26</v>
      </c>
      <c r="B7" s="201" t="s">
        <v>27</v>
      </c>
      <c r="C7" s="201"/>
      <c r="D7" s="201"/>
      <c r="E7" s="201"/>
      <c r="F7" s="201"/>
      <c r="G7" s="201"/>
      <c r="H7" s="197" t="s">
        <v>28</v>
      </c>
      <c r="I7" s="199"/>
    </row>
    <row r="8" spans="1:9">
      <c r="A8" s="2" t="s">
        <v>29</v>
      </c>
      <c r="B8" s="201" t="s">
        <v>30</v>
      </c>
      <c r="C8" s="201"/>
      <c r="D8" s="201"/>
      <c r="E8" s="201"/>
      <c r="F8" s="201"/>
      <c r="G8" s="201"/>
      <c r="H8" s="199">
        <v>24</v>
      </c>
      <c r="I8" s="199"/>
    </row>
    <row r="9" spans="1:9">
      <c r="A9" s="10"/>
      <c r="B9" s="9"/>
      <c r="C9" s="9"/>
      <c r="D9" s="9"/>
      <c r="E9" s="9"/>
      <c r="F9" s="9"/>
      <c r="G9" s="9"/>
      <c r="H9" s="10"/>
      <c r="I9" s="10"/>
    </row>
    <row r="10" spans="1:9">
      <c r="A10" s="200" t="s">
        <v>31</v>
      </c>
      <c r="B10" s="200"/>
      <c r="C10" s="200"/>
      <c r="D10" s="200"/>
      <c r="E10" s="200"/>
      <c r="F10" s="200"/>
      <c r="G10" s="200"/>
      <c r="H10" s="200"/>
      <c r="I10" s="200"/>
    </row>
    <row r="11" spans="1:9">
      <c r="A11" s="199" t="s">
        <v>32</v>
      </c>
      <c r="B11" s="199"/>
      <c r="C11" s="199" t="s">
        <v>33</v>
      </c>
      <c r="D11" s="199"/>
      <c r="E11" s="199" t="s">
        <v>34</v>
      </c>
      <c r="F11" s="199"/>
      <c r="G11" s="199"/>
      <c r="H11" s="199"/>
      <c r="I11" s="199"/>
    </row>
    <row r="12" spans="1:9">
      <c r="A12" s="199" t="s">
        <v>35</v>
      </c>
      <c r="B12" s="199"/>
      <c r="C12" s="199" t="s">
        <v>36</v>
      </c>
      <c r="D12" s="199"/>
      <c r="E12" s="199">
        <v>2</v>
      </c>
      <c r="F12" s="199"/>
      <c r="G12" s="199"/>
      <c r="H12" s="199"/>
      <c r="I12" s="199"/>
    </row>
    <row r="13" spans="1:9">
      <c r="A13" s="10"/>
      <c r="B13" s="9"/>
      <c r="C13" s="9"/>
      <c r="D13" s="9"/>
      <c r="E13" s="9"/>
      <c r="F13" s="9"/>
      <c r="G13" s="9"/>
      <c r="H13" s="10"/>
      <c r="I13" s="10"/>
    </row>
    <row r="14" spans="1:9">
      <c r="A14" s="200" t="s">
        <v>37</v>
      </c>
      <c r="B14" s="200"/>
      <c r="C14" s="200"/>
      <c r="D14" s="200"/>
      <c r="E14" s="200"/>
      <c r="F14" s="200"/>
      <c r="G14" s="200"/>
      <c r="H14" s="200"/>
      <c r="I14" s="200"/>
    </row>
    <row r="15" spans="1:9">
      <c r="A15" s="2">
        <v>1</v>
      </c>
      <c r="B15" s="201" t="s">
        <v>38</v>
      </c>
      <c r="C15" s="201"/>
      <c r="D15" s="201"/>
      <c r="E15" s="201"/>
      <c r="F15" s="201"/>
      <c r="G15" s="201"/>
      <c r="H15" s="197" t="s">
        <v>39</v>
      </c>
      <c r="I15" s="199"/>
    </row>
    <row r="16" spans="1:9">
      <c r="A16" s="2">
        <v>2</v>
      </c>
      <c r="B16" s="201" t="s">
        <v>40</v>
      </c>
      <c r="C16" s="201"/>
      <c r="D16" s="201"/>
      <c r="E16" s="201"/>
      <c r="F16" s="201"/>
      <c r="G16" s="201"/>
      <c r="H16" s="205" t="s">
        <v>41</v>
      </c>
      <c r="I16" s="206"/>
    </row>
    <row r="17" spans="1:11">
      <c r="A17" s="2">
        <v>3</v>
      </c>
      <c r="B17" s="201" t="s">
        <v>42</v>
      </c>
      <c r="C17" s="201"/>
      <c r="D17" s="201"/>
      <c r="E17" s="201"/>
      <c r="F17" s="201"/>
      <c r="G17" s="201"/>
      <c r="H17" s="207">
        <v>1361.26</v>
      </c>
      <c r="I17" s="199"/>
    </row>
    <row r="18" spans="1:11">
      <c r="A18" s="2">
        <v>4</v>
      </c>
      <c r="B18" s="201" t="s">
        <v>43</v>
      </c>
      <c r="C18" s="201"/>
      <c r="D18" s="201"/>
      <c r="E18" s="201"/>
      <c r="F18" s="201"/>
      <c r="G18" s="201"/>
      <c r="H18" s="199" t="s">
        <v>44</v>
      </c>
      <c r="I18" s="199"/>
    </row>
    <row r="19" spans="1:11">
      <c r="A19" s="2">
        <v>5</v>
      </c>
      <c r="B19" s="201" t="s">
        <v>45</v>
      </c>
      <c r="C19" s="201"/>
      <c r="D19" s="201"/>
      <c r="E19" s="201"/>
      <c r="F19" s="201"/>
      <c r="G19" s="201"/>
      <c r="H19" s="204">
        <v>44927</v>
      </c>
      <c r="I19" s="199"/>
    </row>
    <row r="20" spans="1:11">
      <c r="A20" s="202"/>
      <c r="B20" s="202"/>
      <c r="C20" s="202"/>
      <c r="D20" s="202"/>
      <c r="E20" s="202"/>
      <c r="F20" s="202"/>
      <c r="G20" s="202"/>
      <c r="H20" s="202"/>
      <c r="I20" s="202"/>
    </row>
    <row r="21" spans="1:11">
      <c r="A21" s="208" t="s">
        <v>46</v>
      </c>
      <c r="B21" s="208"/>
      <c r="C21" s="208"/>
      <c r="D21" s="208"/>
      <c r="E21" s="208"/>
      <c r="F21" s="208"/>
      <c r="G21" s="208"/>
      <c r="H21" s="208"/>
      <c r="I21" s="208"/>
    </row>
    <row r="22" spans="1:11">
      <c r="A22" s="1">
        <v>1</v>
      </c>
      <c r="B22" s="209" t="s">
        <v>47</v>
      </c>
      <c r="C22" s="209"/>
      <c r="D22" s="209"/>
      <c r="E22" s="209"/>
      <c r="F22" s="209"/>
      <c r="G22" s="209"/>
      <c r="H22" s="1" t="s">
        <v>48</v>
      </c>
      <c r="I22" s="1" t="s">
        <v>49</v>
      </c>
    </row>
    <row r="23" spans="1:11">
      <c r="A23" s="1" t="s">
        <v>20</v>
      </c>
      <c r="B23" s="201" t="s">
        <v>50</v>
      </c>
      <c r="C23" s="201"/>
      <c r="D23" s="201"/>
      <c r="E23" s="201"/>
      <c r="F23" s="201"/>
      <c r="G23" s="201"/>
      <c r="H23" s="5"/>
      <c r="I23" s="19">
        <v>1361.26</v>
      </c>
    </row>
    <row r="24" spans="1:11">
      <c r="A24" s="1" t="s">
        <v>23</v>
      </c>
      <c r="B24" s="201" t="s">
        <v>51</v>
      </c>
      <c r="C24" s="201"/>
      <c r="D24" s="201"/>
      <c r="E24" s="201"/>
      <c r="F24" s="201"/>
      <c r="G24" s="201"/>
      <c r="H24" s="34">
        <v>0</v>
      </c>
      <c r="I24" s="19">
        <f>I23*H24</f>
        <v>0</v>
      </c>
      <c r="K24" s="41"/>
    </row>
    <row r="25" spans="1:11">
      <c r="A25" s="1" t="s">
        <v>26</v>
      </c>
      <c r="B25" s="201" t="s">
        <v>52</v>
      </c>
      <c r="C25" s="201"/>
      <c r="D25" s="201"/>
      <c r="E25" s="201"/>
      <c r="F25" s="201"/>
      <c r="G25" s="201"/>
      <c r="H25" s="34">
        <v>0.4</v>
      </c>
      <c r="I25" s="19">
        <f>I23*H25</f>
        <v>544.50400000000002</v>
      </c>
    </row>
    <row r="26" spans="1:11">
      <c r="A26" s="1" t="s">
        <v>29</v>
      </c>
      <c r="B26" s="201" t="s">
        <v>53</v>
      </c>
      <c r="C26" s="201"/>
      <c r="D26" s="201"/>
      <c r="E26" s="201"/>
      <c r="F26" s="201"/>
      <c r="G26" s="201"/>
      <c r="H26" s="34">
        <v>0</v>
      </c>
      <c r="I26" s="19">
        <f>(((I23+I24)/220)*H26*8*15)</f>
        <v>0</v>
      </c>
    </row>
    <row r="27" spans="1:11">
      <c r="A27" s="1" t="s">
        <v>54</v>
      </c>
      <c r="B27" s="201" t="s">
        <v>55</v>
      </c>
      <c r="C27" s="201"/>
      <c r="D27" s="201"/>
      <c r="E27" s="201"/>
      <c r="F27" s="201"/>
      <c r="G27" s="201"/>
      <c r="H27" s="35"/>
      <c r="I27" s="19">
        <v>0</v>
      </c>
    </row>
    <row r="28" spans="1:11">
      <c r="A28" s="1" t="s">
        <v>56</v>
      </c>
      <c r="B28" s="201" t="s">
        <v>57</v>
      </c>
      <c r="C28" s="201"/>
      <c r="D28" s="201"/>
      <c r="E28" s="201"/>
      <c r="F28" s="201"/>
      <c r="G28" s="201"/>
      <c r="H28" s="34"/>
      <c r="I28" s="19">
        <v>0</v>
      </c>
    </row>
    <row r="29" spans="1:11">
      <c r="A29" s="209" t="s">
        <v>58</v>
      </c>
      <c r="B29" s="209"/>
      <c r="C29" s="209"/>
      <c r="D29" s="209"/>
      <c r="E29" s="209"/>
      <c r="F29" s="209"/>
      <c r="G29" s="209"/>
      <c r="H29" s="209"/>
      <c r="I29" s="15">
        <f>TRUNC(SUM(I23:I28),2)</f>
        <v>1905.76</v>
      </c>
    </row>
    <row r="30" spans="1:11">
      <c r="A30" s="11"/>
      <c r="B30" s="11"/>
      <c r="C30" s="11"/>
      <c r="D30" s="11"/>
      <c r="E30" s="11"/>
      <c r="F30" s="11"/>
      <c r="G30" s="11"/>
      <c r="H30" s="11"/>
      <c r="I30" s="16"/>
    </row>
    <row r="31" spans="1:11">
      <c r="A31" s="208" t="s">
        <v>59</v>
      </c>
      <c r="B31" s="208"/>
      <c r="C31" s="208"/>
      <c r="D31" s="208"/>
      <c r="E31" s="208"/>
      <c r="F31" s="208"/>
      <c r="G31" s="208"/>
      <c r="H31" s="208"/>
      <c r="I31" s="208"/>
    </row>
    <row r="32" spans="1:11">
      <c r="A32" s="209" t="s">
        <v>60</v>
      </c>
      <c r="B32" s="209"/>
      <c r="C32" s="209"/>
      <c r="D32" s="209"/>
      <c r="E32" s="209"/>
      <c r="F32" s="209"/>
      <c r="G32" s="209"/>
      <c r="H32" s="1" t="s">
        <v>48</v>
      </c>
      <c r="I32" s="1" t="s">
        <v>49</v>
      </c>
    </row>
    <row r="33" spans="1:11">
      <c r="A33" s="1" t="s">
        <v>20</v>
      </c>
      <c r="B33" s="201" t="s">
        <v>61</v>
      </c>
      <c r="C33" s="201"/>
      <c r="D33" s="201"/>
      <c r="E33" s="201"/>
      <c r="F33" s="201"/>
      <c r="G33" s="201"/>
      <c r="H33" s="20">
        <v>8.3299999999999999E-2</v>
      </c>
      <c r="I33" s="19">
        <f>TRUNC($I$29*H33,2)</f>
        <v>158.74</v>
      </c>
    </row>
    <row r="34" spans="1:11">
      <c r="A34" s="1" t="s">
        <v>23</v>
      </c>
      <c r="B34" s="201" t="s">
        <v>62</v>
      </c>
      <c r="C34" s="201"/>
      <c r="D34" s="201"/>
      <c r="E34" s="201"/>
      <c r="F34" s="201"/>
      <c r="G34" s="201"/>
      <c r="H34" s="12">
        <v>3.0300000000000001E-2</v>
      </c>
      <c r="I34" s="19">
        <f>TRUNC(H34*I29,2)</f>
        <v>57.74</v>
      </c>
    </row>
    <row r="35" spans="1:11">
      <c r="A35" s="209" t="s">
        <v>63</v>
      </c>
      <c r="B35" s="209"/>
      <c r="C35" s="209"/>
      <c r="D35" s="209"/>
      <c r="E35" s="209"/>
      <c r="F35" s="209"/>
      <c r="G35" s="209"/>
      <c r="H35" s="13">
        <f>TRUNC(SUM(H33:H34),4)</f>
        <v>0.11360000000000001</v>
      </c>
      <c r="I35" s="15">
        <f>TRUNC(SUM(I33:I34),2)</f>
        <v>216.48</v>
      </c>
    </row>
    <row r="36" spans="1:11">
      <c r="A36" s="210"/>
      <c r="B36" s="211"/>
      <c r="C36" s="211"/>
      <c r="D36" s="211"/>
      <c r="E36" s="211"/>
      <c r="F36" s="211"/>
      <c r="G36" s="211"/>
      <c r="H36" s="211"/>
      <c r="I36" s="211"/>
      <c r="J36" s="17" t="s">
        <v>64</v>
      </c>
      <c r="K36" s="33">
        <f>I29+I35</f>
        <v>2122.2399999999998</v>
      </c>
    </row>
    <row r="37" spans="1:11">
      <c r="A37" s="209" t="s">
        <v>65</v>
      </c>
      <c r="B37" s="209"/>
      <c r="C37" s="209"/>
      <c r="D37" s="209"/>
      <c r="E37" s="209"/>
      <c r="F37" s="209"/>
      <c r="G37" s="209"/>
      <c r="H37" s="1" t="s">
        <v>48</v>
      </c>
      <c r="I37" s="1" t="s">
        <v>49</v>
      </c>
    </row>
    <row r="38" spans="1:11">
      <c r="A38" s="1" t="s">
        <v>20</v>
      </c>
      <c r="B38" s="201" t="s">
        <v>66</v>
      </c>
      <c r="C38" s="201"/>
      <c r="D38" s="201"/>
      <c r="E38" s="201"/>
      <c r="F38" s="201"/>
      <c r="G38" s="201"/>
      <c r="H38" s="20">
        <v>0.2</v>
      </c>
      <c r="I38" s="19">
        <f>H38*$K$36</f>
        <v>424.44799999999998</v>
      </c>
    </row>
    <row r="39" spans="1:11">
      <c r="A39" s="1" t="s">
        <v>23</v>
      </c>
      <c r="B39" s="201" t="s">
        <v>67</v>
      </c>
      <c r="C39" s="201"/>
      <c r="D39" s="201"/>
      <c r="E39" s="201"/>
      <c r="F39" s="201"/>
      <c r="G39" s="201"/>
      <c r="H39" s="20">
        <v>2.5000000000000001E-2</v>
      </c>
      <c r="I39" s="19">
        <f t="shared" ref="I39:I45" si="0">H39*$K$36</f>
        <v>53.055999999999997</v>
      </c>
    </row>
    <row r="40" spans="1:11">
      <c r="A40" s="1" t="s">
        <v>26</v>
      </c>
      <c r="B40" s="201" t="s">
        <v>68</v>
      </c>
      <c r="C40" s="201"/>
      <c r="D40" s="201"/>
      <c r="E40" s="201"/>
      <c r="F40" s="201"/>
      <c r="G40" s="201"/>
      <c r="H40" s="20">
        <v>1.4999999999999999E-2</v>
      </c>
      <c r="I40" s="19">
        <f t="shared" si="0"/>
        <v>31.833599999999997</v>
      </c>
    </row>
    <row r="41" spans="1:11">
      <c r="A41" s="1" t="s">
        <v>29</v>
      </c>
      <c r="B41" s="201" t="s">
        <v>69</v>
      </c>
      <c r="C41" s="201"/>
      <c r="D41" s="201"/>
      <c r="E41" s="201"/>
      <c r="F41" s="201"/>
      <c r="G41" s="201"/>
      <c r="H41" s="20">
        <v>1.4999999999999999E-2</v>
      </c>
      <c r="I41" s="19">
        <f t="shared" si="0"/>
        <v>31.833599999999997</v>
      </c>
    </row>
    <row r="42" spans="1:11">
      <c r="A42" s="1" t="s">
        <v>54</v>
      </c>
      <c r="B42" s="201" t="s">
        <v>70</v>
      </c>
      <c r="C42" s="201"/>
      <c r="D42" s="201"/>
      <c r="E42" s="201"/>
      <c r="F42" s="201"/>
      <c r="G42" s="201"/>
      <c r="H42" s="20">
        <v>0.01</v>
      </c>
      <c r="I42" s="19">
        <f t="shared" si="0"/>
        <v>21.222399999999997</v>
      </c>
    </row>
    <row r="43" spans="1:11">
      <c r="A43" s="1" t="s">
        <v>56</v>
      </c>
      <c r="B43" s="201" t="s">
        <v>71</v>
      </c>
      <c r="C43" s="201"/>
      <c r="D43" s="201"/>
      <c r="E43" s="201"/>
      <c r="F43" s="201"/>
      <c r="G43" s="201"/>
      <c r="H43" s="20">
        <v>6.0000000000000001E-3</v>
      </c>
      <c r="I43" s="19">
        <f t="shared" si="0"/>
        <v>12.733439999999998</v>
      </c>
    </row>
    <row r="44" spans="1:11">
      <c r="A44" s="1" t="s">
        <v>72</v>
      </c>
      <c r="B44" s="201" t="s">
        <v>73</v>
      </c>
      <c r="C44" s="201"/>
      <c r="D44" s="201"/>
      <c r="E44" s="201"/>
      <c r="F44" s="201"/>
      <c r="G44" s="201"/>
      <c r="H44" s="20">
        <v>2E-3</v>
      </c>
      <c r="I44" s="19">
        <f t="shared" si="0"/>
        <v>4.2444799999999994</v>
      </c>
    </row>
    <row r="45" spans="1:11">
      <c r="A45" s="1" t="s">
        <v>74</v>
      </c>
      <c r="B45" s="201" t="s">
        <v>75</v>
      </c>
      <c r="C45" s="201"/>
      <c r="D45" s="201"/>
      <c r="E45" s="201"/>
      <c r="F45" s="201"/>
      <c r="G45" s="201"/>
      <c r="H45" s="20">
        <v>0.08</v>
      </c>
      <c r="I45" s="19">
        <f t="shared" si="0"/>
        <v>169.77919999999997</v>
      </c>
    </row>
    <row r="46" spans="1:11">
      <c r="A46" s="209" t="s">
        <v>76</v>
      </c>
      <c r="B46" s="209"/>
      <c r="C46" s="209"/>
      <c r="D46" s="209"/>
      <c r="E46" s="209"/>
      <c r="F46" s="209"/>
      <c r="G46" s="209"/>
      <c r="H46" s="13">
        <f>SUM(H38:H45)</f>
        <v>0.35300000000000004</v>
      </c>
      <c r="I46" s="15">
        <f>TRUNC(SUM(I38:I45),2)</f>
        <v>749.15</v>
      </c>
    </row>
    <row r="47" spans="1:11">
      <c r="A47" s="212"/>
      <c r="B47" s="212"/>
      <c r="C47" s="212"/>
      <c r="D47" s="212"/>
      <c r="E47" s="212"/>
      <c r="F47" s="212"/>
      <c r="G47" s="212"/>
      <c r="H47" s="212"/>
      <c r="I47" s="213"/>
    </row>
    <row r="48" spans="1:11">
      <c r="A48" s="209" t="s">
        <v>77</v>
      </c>
      <c r="B48" s="209"/>
      <c r="C48" s="209"/>
      <c r="D48" s="209"/>
      <c r="E48" s="209"/>
      <c r="F48" s="209"/>
      <c r="G48" s="209"/>
      <c r="H48" s="13"/>
      <c r="I48" s="1" t="s">
        <v>49</v>
      </c>
    </row>
    <row r="49" spans="1:11">
      <c r="A49" s="1" t="s">
        <v>20</v>
      </c>
      <c r="B49" s="214" t="s">
        <v>78</v>
      </c>
      <c r="C49" s="215"/>
      <c r="D49" s="215"/>
      <c r="E49" s="215"/>
      <c r="F49" s="215"/>
      <c r="G49" s="215"/>
      <c r="H49" s="2">
        <v>52</v>
      </c>
      <c r="I49" s="18">
        <f>3.9*H49-K49</f>
        <v>121.12439999999998</v>
      </c>
      <c r="K49">
        <f>I23*0.06</f>
        <v>81.675600000000003</v>
      </c>
    </row>
    <row r="50" spans="1:11">
      <c r="A50" s="1" t="s">
        <v>23</v>
      </c>
      <c r="B50" s="214" t="s">
        <v>79</v>
      </c>
      <c r="C50" s="215"/>
      <c r="D50" s="215"/>
      <c r="E50" s="215"/>
      <c r="F50" s="215"/>
      <c r="G50" s="215"/>
      <c r="H50" s="2" t="s">
        <v>22</v>
      </c>
      <c r="I50" s="18">
        <f>210.23-210.23*0.2</f>
        <v>168.184</v>
      </c>
      <c r="K50" s="41">
        <f>568.04*12.47%+568.04</f>
        <v>638.8745879999999</v>
      </c>
    </row>
    <row r="51" spans="1:11">
      <c r="A51" s="1" t="s">
        <v>26</v>
      </c>
      <c r="B51" s="215" t="s">
        <v>80</v>
      </c>
      <c r="C51" s="215"/>
      <c r="D51" s="215"/>
      <c r="E51" s="215"/>
      <c r="F51" s="215"/>
      <c r="G51" s="215"/>
      <c r="H51" s="2" t="s">
        <v>22</v>
      </c>
      <c r="I51" s="18">
        <v>13.08</v>
      </c>
      <c r="K51" s="41">
        <f>105.29*12.13%+105.29</f>
        <v>118.061677</v>
      </c>
    </row>
    <row r="52" spans="1:11">
      <c r="A52" s="1" t="s">
        <v>29</v>
      </c>
      <c r="B52" s="216" t="s">
        <v>81</v>
      </c>
      <c r="C52" s="217"/>
      <c r="D52" s="217"/>
      <c r="E52" s="217"/>
      <c r="F52" s="217"/>
      <c r="G52" s="218"/>
      <c r="H52" s="2" t="s">
        <v>22</v>
      </c>
      <c r="I52" s="18">
        <v>116.69</v>
      </c>
      <c r="K52" s="41">
        <f>11.83*12.13%+11.83</f>
        <v>13.264979</v>
      </c>
    </row>
    <row r="53" spans="1:11">
      <c r="A53" s="1" t="s">
        <v>54</v>
      </c>
      <c r="B53" s="216" t="s">
        <v>82</v>
      </c>
      <c r="C53" s="217"/>
      <c r="D53" s="217"/>
      <c r="E53" s="217"/>
      <c r="F53" s="217"/>
      <c r="G53" s="218"/>
      <c r="H53" s="2" t="s">
        <v>22</v>
      </c>
      <c r="I53" s="18">
        <v>0.73</v>
      </c>
    </row>
    <row r="54" spans="1:11">
      <c r="A54" s="1" t="s">
        <v>56</v>
      </c>
      <c r="B54" s="215" t="s">
        <v>83</v>
      </c>
      <c r="C54" s="215"/>
      <c r="D54" s="215"/>
      <c r="E54" s="215"/>
      <c r="F54" s="215"/>
      <c r="G54" s="215"/>
      <c r="H54" s="2" t="s">
        <v>22</v>
      </c>
      <c r="I54" s="18">
        <v>0</v>
      </c>
    </row>
    <row r="55" spans="1:11">
      <c r="A55" s="209" t="s">
        <v>84</v>
      </c>
      <c r="B55" s="209"/>
      <c r="C55" s="209"/>
      <c r="D55" s="209"/>
      <c r="E55" s="209"/>
      <c r="F55" s="209"/>
      <c r="G55" s="209"/>
      <c r="H55" s="209"/>
      <c r="I55" s="15">
        <f>SUM(I49:I54)</f>
        <v>419.80840000000001</v>
      </c>
    </row>
    <row r="56" spans="1:11">
      <c r="A56" s="212"/>
      <c r="B56" s="212"/>
      <c r="C56" s="212"/>
      <c r="D56" s="212"/>
      <c r="E56" s="212"/>
      <c r="F56" s="212"/>
      <c r="G56" s="212"/>
      <c r="H56" s="212"/>
      <c r="I56" s="213"/>
    </row>
    <row r="57" spans="1:11">
      <c r="A57" s="219" t="s">
        <v>85</v>
      </c>
      <c r="B57" s="219"/>
      <c r="C57" s="219"/>
      <c r="D57" s="219"/>
      <c r="E57" s="219"/>
      <c r="F57" s="219"/>
      <c r="G57" s="219"/>
      <c r="H57" s="219"/>
      <c r="I57" s="219"/>
    </row>
    <row r="58" spans="1:11">
      <c r="A58" s="209" t="s">
        <v>86</v>
      </c>
      <c r="B58" s="209"/>
      <c r="C58" s="209"/>
      <c r="D58" s="209"/>
      <c r="E58" s="209"/>
      <c r="F58" s="209"/>
      <c r="G58" s="209"/>
      <c r="H58" s="209"/>
      <c r="I58" s="1" t="s">
        <v>49</v>
      </c>
    </row>
    <row r="59" spans="1:11">
      <c r="A59" s="1" t="s">
        <v>87</v>
      </c>
      <c r="B59" s="199" t="s">
        <v>88</v>
      </c>
      <c r="C59" s="199"/>
      <c r="D59" s="199"/>
      <c r="E59" s="199"/>
      <c r="F59" s="199"/>
      <c r="G59" s="199"/>
      <c r="H59" s="199"/>
      <c r="I59" s="19">
        <f>I35</f>
        <v>216.48</v>
      </c>
    </row>
    <row r="60" spans="1:11">
      <c r="A60" s="1" t="s">
        <v>89</v>
      </c>
      <c r="B60" s="199" t="s">
        <v>90</v>
      </c>
      <c r="C60" s="199"/>
      <c r="D60" s="199"/>
      <c r="E60" s="199"/>
      <c r="F60" s="199"/>
      <c r="G60" s="199"/>
      <c r="H60" s="199"/>
      <c r="I60" s="19">
        <f>I46</f>
        <v>749.15</v>
      </c>
    </row>
    <row r="61" spans="1:11">
      <c r="A61" s="1" t="s">
        <v>91</v>
      </c>
      <c r="B61" s="199" t="s">
        <v>92</v>
      </c>
      <c r="C61" s="199"/>
      <c r="D61" s="199"/>
      <c r="E61" s="199"/>
      <c r="F61" s="199"/>
      <c r="G61" s="199"/>
      <c r="H61" s="199"/>
      <c r="I61" s="19">
        <f>I55</f>
        <v>419.80840000000001</v>
      </c>
    </row>
    <row r="62" spans="1:11">
      <c r="A62" s="209" t="s">
        <v>93</v>
      </c>
      <c r="B62" s="209"/>
      <c r="C62" s="209"/>
      <c r="D62" s="209"/>
      <c r="E62" s="209"/>
      <c r="F62" s="209"/>
      <c r="G62" s="209"/>
      <c r="H62" s="209"/>
      <c r="I62" s="15">
        <f>TRUNC(SUM(I59:I61),2)</f>
        <v>1385.43</v>
      </c>
    </row>
    <row r="63" spans="1:11">
      <c r="A63" s="220"/>
      <c r="B63" s="221"/>
      <c r="C63" s="221"/>
      <c r="D63" s="221"/>
      <c r="E63" s="221"/>
      <c r="F63" s="221"/>
      <c r="G63" s="221"/>
      <c r="H63" s="221"/>
      <c r="I63" s="221"/>
    </row>
    <row r="64" spans="1:11">
      <c r="A64" s="208" t="s">
        <v>94</v>
      </c>
      <c r="B64" s="208"/>
      <c r="C64" s="208"/>
      <c r="D64" s="208"/>
      <c r="E64" s="208"/>
      <c r="F64" s="208"/>
      <c r="G64" s="208"/>
      <c r="H64" s="208"/>
      <c r="I64" s="208"/>
    </row>
    <row r="65" spans="1:11">
      <c r="A65" s="1">
        <v>3</v>
      </c>
      <c r="B65" s="209" t="s">
        <v>95</v>
      </c>
      <c r="C65" s="209"/>
      <c r="D65" s="209"/>
      <c r="E65" s="209"/>
      <c r="F65" s="209"/>
      <c r="G65" s="209"/>
      <c r="H65" s="1" t="s">
        <v>48</v>
      </c>
      <c r="I65" s="1" t="s">
        <v>49</v>
      </c>
    </row>
    <row r="66" spans="1:11">
      <c r="A66" s="1" t="s">
        <v>20</v>
      </c>
      <c r="B66" s="201" t="s">
        <v>96</v>
      </c>
      <c r="C66" s="201"/>
      <c r="D66" s="201"/>
      <c r="E66" s="201"/>
      <c r="F66" s="201"/>
      <c r="G66" s="201"/>
      <c r="H66" s="20">
        <v>4.1999999999999997E-3</v>
      </c>
      <c r="I66" s="19">
        <f>H66*$I$29</f>
        <v>8.0041919999999998</v>
      </c>
    </row>
    <row r="67" spans="1:11">
      <c r="A67" s="1" t="s">
        <v>23</v>
      </c>
      <c r="B67" s="201" t="s">
        <v>97</v>
      </c>
      <c r="C67" s="201"/>
      <c r="D67" s="201"/>
      <c r="E67" s="201"/>
      <c r="F67" s="201"/>
      <c r="G67" s="201"/>
      <c r="H67" s="20">
        <v>3.3599999999999998E-4</v>
      </c>
      <c r="I67" s="19">
        <f t="shared" ref="I67:I71" si="1">H67*$I$29</f>
        <v>0.64033535999999991</v>
      </c>
      <c r="K67" s="48"/>
    </row>
    <row r="68" spans="1:11">
      <c r="A68" s="1" t="s">
        <v>26</v>
      </c>
      <c r="B68" s="201" t="s">
        <v>98</v>
      </c>
      <c r="C68" s="201"/>
      <c r="D68" s="201"/>
      <c r="E68" s="201"/>
      <c r="F68" s="201"/>
      <c r="G68" s="201"/>
      <c r="H68" s="20">
        <v>3.4700000000000002E-2</v>
      </c>
      <c r="I68" s="19">
        <f t="shared" si="1"/>
        <v>66.129872000000006</v>
      </c>
    </row>
    <row r="69" spans="1:11">
      <c r="A69" s="1" t="s">
        <v>29</v>
      </c>
      <c r="B69" s="201" t="s">
        <v>99</v>
      </c>
      <c r="C69" s="201"/>
      <c r="D69" s="201"/>
      <c r="E69" s="201"/>
      <c r="F69" s="201"/>
      <c r="G69" s="201"/>
      <c r="H69" s="20">
        <v>1.9400000000000001E-2</v>
      </c>
      <c r="I69" s="19">
        <f t="shared" si="1"/>
        <v>36.971744000000001</v>
      </c>
    </row>
    <row r="70" spans="1:11">
      <c r="A70" s="1" t="s">
        <v>54</v>
      </c>
      <c r="B70" s="222" t="s">
        <v>100</v>
      </c>
      <c r="C70" s="222"/>
      <c r="D70" s="222"/>
      <c r="E70" s="222"/>
      <c r="F70" s="222"/>
      <c r="G70" s="222"/>
      <c r="H70" s="51">
        <f>H46*H69</f>
        <v>6.8482000000000013E-3</v>
      </c>
      <c r="I70" s="19">
        <f t="shared" si="1"/>
        <v>13.051025632000002</v>
      </c>
    </row>
    <row r="71" spans="1:11">
      <c r="A71" s="1" t="s">
        <v>56</v>
      </c>
      <c r="B71" s="201" t="s">
        <v>101</v>
      </c>
      <c r="C71" s="201"/>
      <c r="D71" s="201"/>
      <c r="E71" s="201"/>
      <c r="F71" s="201"/>
      <c r="G71" s="201"/>
      <c r="H71" s="20">
        <v>5.3E-3</v>
      </c>
      <c r="I71" s="19">
        <f t="shared" si="1"/>
        <v>10.100528000000001</v>
      </c>
    </row>
    <row r="72" spans="1:11">
      <c r="A72" s="209" t="s">
        <v>102</v>
      </c>
      <c r="B72" s="209"/>
      <c r="C72" s="209"/>
      <c r="D72" s="209"/>
      <c r="E72" s="209"/>
      <c r="F72" s="209"/>
      <c r="G72" s="209"/>
      <c r="H72" s="13">
        <f>TRUNC(SUM(H66:H71),4)</f>
        <v>7.0699999999999999E-2</v>
      </c>
      <c r="I72" s="15">
        <f>TRUNC(SUM(I66:I71),2)</f>
        <v>134.88999999999999</v>
      </c>
    </row>
    <row r="73" spans="1:11">
      <c r="A73" s="223"/>
      <c r="B73" s="224"/>
      <c r="C73" s="224"/>
      <c r="D73" s="224"/>
      <c r="E73" s="224"/>
      <c r="F73" s="224"/>
      <c r="G73" s="224"/>
      <c r="H73" s="224"/>
      <c r="I73" s="224"/>
    </row>
    <row r="74" spans="1:11">
      <c r="A74" s="208" t="s">
        <v>103</v>
      </c>
      <c r="B74" s="208"/>
      <c r="C74" s="208"/>
      <c r="D74" s="208"/>
      <c r="E74" s="208"/>
      <c r="F74" s="208"/>
      <c r="G74" s="208"/>
      <c r="H74" s="208"/>
      <c r="I74" s="208"/>
      <c r="J74" s="17" t="s">
        <v>104</v>
      </c>
      <c r="K74" s="33">
        <f>I29+I62+I72</f>
        <v>3426.08</v>
      </c>
    </row>
    <row r="75" spans="1:11">
      <c r="A75" s="209" t="s">
        <v>105</v>
      </c>
      <c r="B75" s="209"/>
      <c r="C75" s="209"/>
      <c r="D75" s="209"/>
      <c r="E75" s="209"/>
      <c r="F75" s="209"/>
      <c r="G75" s="209"/>
      <c r="H75" s="1" t="s">
        <v>48</v>
      </c>
      <c r="I75" s="1" t="s">
        <v>49</v>
      </c>
    </row>
    <row r="76" spans="1:11">
      <c r="A76" s="1" t="s">
        <v>20</v>
      </c>
      <c r="B76" s="201" t="s">
        <v>106</v>
      </c>
      <c r="C76" s="201"/>
      <c r="D76" s="201"/>
      <c r="E76" s="201"/>
      <c r="F76" s="201"/>
      <c r="G76" s="201"/>
      <c r="H76" s="20">
        <v>8.3299999999999999E-2</v>
      </c>
      <c r="I76" s="19">
        <f>H76*$K$74</f>
        <v>285.39246400000002</v>
      </c>
    </row>
    <row r="77" spans="1:11">
      <c r="A77" s="1" t="s">
        <v>23</v>
      </c>
      <c r="B77" s="201" t="s">
        <v>107</v>
      </c>
      <c r="C77" s="201"/>
      <c r="D77" s="201"/>
      <c r="E77" s="201"/>
      <c r="F77" s="201"/>
      <c r="G77" s="201"/>
      <c r="H77" s="20">
        <v>8.2000000000000007E-3</v>
      </c>
      <c r="I77" s="19">
        <f t="shared" ref="I77:I81" si="2">H77*$K$74</f>
        <v>28.093856000000002</v>
      </c>
    </row>
    <row r="78" spans="1:11">
      <c r="A78" s="1" t="s">
        <v>26</v>
      </c>
      <c r="B78" s="201" t="s">
        <v>108</v>
      </c>
      <c r="C78" s="201"/>
      <c r="D78" s="201"/>
      <c r="E78" s="201"/>
      <c r="F78" s="201"/>
      <c r="G78" s="201"/>
      <c r="H78" s="20">
        <v>2.0000000000000001E-4</v>
      </c>
      <c r="I78" s="19">
        <f t="shared" si="2"/>
        <v>0.68521600000000005</v>
      </c>
    </row>
    <row r="79" spans="1:11">
      <c r="A79" s="1" t="s">
        <v>29</v>
      </c>
      <c r="B79" s="201" t="s">
        <v>109</v>
      </c>
      <c r="C79" s="201"/>
      <c r="D79" s="201"/>
      <c r="E79" s="201"/>
      <c r="F79" s="201"/>
      <c r="G79" s="201"/>
      <c r="H79" s="20">
        <v>2.9999999999999997E-4</v>
      </c>
      <c r="I79" s="19">
        <f t="shared" si="2"/>
        <v>1.0278239999999998</v>
      </c>
    </row>
    <row r="80" spans="1:11">
      <c r="A80" s="1" t="s">
        <v>54</v>
      </c>
      <c r="B80" s="201" t="s">
        <v>110</v>
      </c>
      <c r="C80" s="201"/>
      <c r="D80" s="201"/>
      <c r="E80" s="201"/>
      <c r="F80" s="201"/>
      <c r="G80" s="201"/>
      <c r="H80" s="20">
        <v>6.9999999999999999E-4</v>
      </c>
      <c r="I80" s="19">
        <f t="shared" si="2"/>
        <v>2.3982559999999999</v>
      </c>
      <c r="K80" s="41"/>
    </row>
    <row r="81" spans="1:11">
      <c r="A81" s="1" t="s">
        <v>56</v>
      </c>
      <c r="B81" s="201" t="s">
        <v>111</v>
      </c>
      <c r="C81" s="201"/>
      <c r="D81" s="201"/>
      <c r="E81" s="201"/>
      <c r="F81" s="201"/>
      <c r="G81" s="201"/>
      <c r="H81" s="20">
        <v>0</v>
      </c>
      <c r="I81" s="19">
        <f t="shared" si="2"/>
        <v>0</v>
      </c>
      <c r="K81" s="42"/>
    </row>
    <row r="82" spans="1:11">
      <c r="A82" s="209" t="s">
        <v>112</v>
      </c>
      <c r="B82" s="209"/>
      <c r="C82" s="209"/>
      <c r="D82" s="209"/>
      <c r="E82" s="209"/>
      <c r="F82" s="209"/>
      <c r="G82" s="209"/>
      <c r="H82" s="13">
        <f>TRUNC(SUM(H76:H81),4)</f>
        <v>9.2700000000000005E-2</v>
      </c>
      <c r="I82" s="15">
        <f>TRUNC(SUM(I76:I81),2)</f>
        <v>317.58999999999997</v>
      </c>
      <c r="K82" s="42"/>
    </row>
    <row r="83" spans="1:11">
      <c r="A83" s="225"/>
      <c r="B83" s="226"/>
      <c r="C83" s="226"/>
      <c r="D83" s="226"/>
      <c r="E83" s="226"/>
      <c r="F83" s="226"/>
      <c r="G83" s="226"/>
      <c r="H83" s="226"/>
      <c r="I83" s="226"/>
    </row>
    <row r="84" spans="1:11">
      <c r="A84" s="209" t="s">
        <v>113</v>
      </c>
      <c r="B84" s="209"/>
      <c r="C84" s="209"/>
      <c r="D84" s="209"/>
      <c r="E84" s="209"/>
      <c r="F84" s="209"/>
      <c r="G84" s="209"/>
      <c r="H84" s="1" t="s">
        <v>48</v>
      </c>
      <c r="I84" s="1" t="s">
        <v>49</v>
      </c>
    </row>
    <row r="85" spans="1:11">
      <c r="A85" s="1" t="s">
        <v>20</v>
      </c>
      <c r="B85" s="201" t="s">
        <v>114</v>
      </c>
      <c r="C85" s="201"/>
      <c r="D85" s="201"/>
      <c r="E85" s="201"/>
      <c r="F85" s="201"/>
      <c r="G85" s="201"/>
      <c r="H85" s="20">
        <v>0</v>
      </c>
      <c r="I85" s="19">
        <v>0</v>
      </c>
    </row>
    <row r="86" spans="1:11">
      <c r="A86" s="209" t="s">
        <v>115</v>
      </c>
      <c r="B86" s="209"/>
      <c r="C86" s="209"/>
      <c r="D86" s="209"/>
      <c r="E86" s="209"/>
      <c r="F86" s="209"/>
      <c r="G86" s="209"/>
      <c r="H86" s="13">
        <f>TRUNC(SUM(H85),4)</f>
        <v>0</v>
      </c>
      <c r="I86" s="15">
        <f>TRUNC(SUM(I85),2)</f>
        <v>0</v>
      </c>
    </row>
    <row r="87" spans="1:11">
      <c r="A87" s="227"/>
      <c r="B87" s="228"/>
      <c r="C87" s="228"/>
      <c r="D87" s="228"/>
      <c r="E87" s="228"/>
      <c r="F87" s="228"/>
      <c r="G87" s="228"/>
      <c r="H87" s="228"/>
      <c r="I87" s="228"/>
    </row>
    <row r="88" spans="1:11">
      <c r="A88" s="219" t="s">
        <v>116</v>
      </c>
      <c r="B88" s="219"/>
      <c r="C88" s="219"/>
      <c r="D88" s="219"/>
      <c r="E88" s="219"/>
      <c r="F88" s="219"/>
      <c r="G88" s="219"/>
      <c r="H88" s="219"/>
      <c r="I88" s="219"/>
    </row>
    <row r="89" spans="1:11">
      <c r="A89" s="209" t="s">
        <v>117</v>
      </c>
      <c r="B89" s="209"/>
      <c r="C89" s="209"/>
      <c r="D89" s="209"/>
      <c r="E89" s="209"/>
      <c r="F89" s="209"/>
      <c r="G89" s="209"/>
      <c r="H89" s="209"/>
      <c r="I89" s="1" t="s">
        <v>49</v>
      </c>
    </row>
    <row r="90" spans="1:11">
      <c r="A90" s="1" t="s">
        <v>118</v>
      </c>
      <c r="B90" s="199" t="s">
        <v>119</v>
      </c>
      <c r="C90" s="199"/>
      <c r="D90" s="199"/>
      <c r="E90" s="199"/>
      <c r="F90" s="199"/>
      <c r="G90" s="199"/>
      <c r="H90" s="199"/>
      <c r="I90" s="19">
        <f>I82</f>
        <v>317.58999999999997</v>
      </c>
    </row>
    <row r="91" spans="1:11">
      <c r="A91" s="1" t="s">
        <v>120</v>
      </c>
      <c r="B91" s="199" t="s">
        <v>121</v>
      </c>
      <c r="C91" s="199"/>
      <c r="D91" s="199"/>
      <c r="E91" s="199"/>
      <c r="F91" s="199"/>
      <c r="G91" s="199"/>
      <c r="H91" s="199"/>
      <c r="I91" s="19">
        <f>I86</f>
        <v>0</v>
      </c>
    </row>
    <row r="92" spans="1:11">
      <c r="A92" s="209" t="s">
        <v>122</v>
      </c>
      <c r="B92" s="209"/>
      <c r="C92" s="209"/>
      <c r="D92" s="209"/>
      <c r="E92" s="209"/>
      <c r="F92" s="209"/>
      <c r="G92" s="209"/>
      <c r="H92" s="209"/>
      <c r="I92" s="15">
        <f>TRUNC(SUM(I90:I91),2)</f>
        <v>317.58999999999997</v>
      </c>
    </row>
    <row r="93" spans="1:11">
      <c r="A93" s="220"/>
      <c r="B93" s="221"/>
      <c r="C93" s="221"/>
      <c r="D93" s="221"/>
      <c r="E93" s="221"/>
      <c r="F93" s="221"/>
      <c r="G93" s="221"/>
      <c r="H93" s="221"/>
      <c r="I93" s="221"/>
    </row>
    <row r="94" spans="1:11">
      <c r="A94" s="208" t="s">
        <v>123</v>
      </c>
      <c r="B94" s="208"/>
      <c r="C94" s="208"/>
      <c r="D94" s="208"/>
      <c r="E94" s="208"/>
      <c r="F94" s="208"/>
      <c r="G94" s="208"/>
      <c r="H94" s="208"/>
      <c r="I94" s="208"/>
    </row>
    <row r="95" spans="1:11">
      <c r="A95" s="1">
        <v>5</v>
      </c>
      <c r="B95" s="209" t="s">
        <v>124</v>
      </c>
      <c r="C95" s="209"/>
      <c r="D95" s="209"/>
      <c r="E95" s="209"/>
      <c r="F95" s="209"/>
      <c r="G95" s="209"/>
      <c r="H95" s="1"/>
      <c r="I95" s="1" t="s">
        <v>49</v>
      </c>
    </row>
    <row r="96" spans="1:11">
      <c r="A96" s="1" t="s">
        <v>20</v>
      </c>
      <c r="B96" s="214" t="s">
        <v>125</v>
      </c>
      <c r="C96" s="215"/>
      <c r="D96" s="215"/>
      <c r="E96" s="215"/>
      <c r="F96" s="215"/>
      <c r="G96" s="215"/>
      <c r="H96" s="2" t="s">
        <v>22</v>
      </c>
      <c r="I96" s="19">
        <f>INSUMOS!M31</f>
        <v>24.004999999999999</v>
      </c>
    </row>
    <row r="97" spans="1:9">
      <c r="A97" s="1" t="s">
        <v>23</v>
      </c>
      <c r="B97" s="215" t="s">
        <v>183</v>
      </c>
      <c r="C97" s="215"/>
      <c r="D97" s="215"/>
      <c r="E97" s="215"/>
      <c r="F97" s="215"/>
      <c r="G97" s="215"/>
      <c r="H97" s="2" t="s">
        <v>22</v>
      </c>
      <c r="I97" s="19">
        <f>INSUMOS!M115</f>
        <v>7.53</v>
      </c>
    </row>
    <row r="98" spans="1:9">
      <c r="A98" s="14" t="s">
        <v>26</v>
      </c>
      <c r="B98" s="215" t="s">
        <v>127</v>
      </c>
      <c r="C98" s="215"/>
      <c r="D98" s="215"/>
      <c r="E98" s="215"/>
      <c r="F98" s="215"/>
      <c r="G98" s="215"/>
      <c r="H98" s="2" t="s">
        <v>22</v>
      </c>
      <c r="I98" s="19">
        <v>0</v>
      </c>
    </row>
    <row r="99" spans="1:9">
      <c r="A99" s="14" t="s">
        <v>29</v>
      </c>
      <c r="B99" s="215" t="s">
        <v>184</v>
      </c>
      <c r="C99" s="215"/>
      <c r="D99" s="215"/>
      <c r="E99" s="215"/>
      <c r="F99" s="215"/>
      <c r="G99" s="215"/>
      <c r="H99" s="2" t="s">
        <v>22</v>
      </c>
      <c r="I99" s="19">
        <v>0</v>
      </c>
    </row>
    <row r="100" spans="1:9">
      <c r="A100" s="209" t="s">
        <v>129</v>
      </c>
      <c r="B100" s="209"/>
      <c r="C100" s="209"/>
      <c r="D100" s="209"/>
      <c r="E100" s="209"/>
      <c r="F100" s="209"/>
      <c r="G100" s="209"/>
      <c r="H100" s="13" t="s">
        <v>22</v>
      </c>
      <c r="I100" s="15">
        <f>TRUNC(SUM(I96:I99),2)</f>
        <v>31.53</v>
      </c>
    </row>
    <row r="101" spans="1:9">
      <c r="A101" s="220"/>
      <c r="B101" s="221"/>
      <c r="C101" s="221"/>
      <c r="D101" s="221"/>
      <c r="E101" s="221"/>
      <c r="F101" s="221"/>
      <c r="G101" s="221"/>
      <c r="H101" s="221"/>
      <c r="I101" s="221"/>
    </row>
    <row r="102" spans="1:9">
      <c r="A102" s="208" t="s">
        <v>130</v>
      </c>
      <c r="B102" s="208"/>
      <c r="C102" s="208"/>
      <c r="D102" s="208"/>
      <c r="E102" s="208"/>
      <c r="F102" s="208"/>
      <c r="G102" s="208"/>
      <c r="H102" s="208"/>
      <c r="I102" s="208"/>
    </row>
    <row r="103" spans="1:9">
      <c r="A103" s="1">
        <v>6</v>
      </c>
      <c r="B103" s="209" t="s">
        <v>131</v>
      </c>
      <c r="C103" s="209"/>
      <c r="D103" s="209"/>
      <c r="E103" s="209"/>
      <c r="F103" s="209"/>
      <c r="G103" s="209"/>
      <c r="H103" s="1" t="s">
        <v>48</v>
      </c>
      <c r="I103" s="1" t="s">
        <v>49</v>
      </c>
    </row>
    <row r="104" spans="1:9">
      <c r="A104" s="1" t="s">
        <v>20</v>
      </c>
      <c r="B104" s="201" t="s">
        <v>132</v>
      </c>
      <c r="C104" s="201"/>
      <c r="D104" s="201"/>
      <c r="E104" s="201"/>
      <c r="F104" s="201"/>
      <c r="G104" s="201"/>
      <c r="H104" s="37">
        <v>0.03</v>
      </c>
      <c r="I104" s="19">
        <f>TRUNC(H104*I128,2)</f>
        <v>113.25</v>
      </c>
    </row>
    <row r="105" spans="1:9">
      <c r="A105" s="1" t="s">
        <v>23</v>
      </c>
      <c r="B105" s="201" t="s">
        <v>133</v>
      </c>
      <c r="C105" s="201"/>
      <c r="D105" s="201"/>
      <c r="E105" s="201"/>
      <c r="F105" s="201"/>
      <c r="G105" s="201"/>
      <c r="H105" s="37">
        <v>6.7900000000000002E-2</v>
      </c>
      <c r="I105" s="19">
        <f>TRUNC(H105*(I104+I128),2)</f>
        <v>264.02</v>
      </c>
    </row>
    <row r="106" spans="1:9">
      <c r="A106" s="1" t="s">
        <v>26</v>
      </c>
      <c r="B106" s="229" t="s">
        <v>134</v>
      </c>
      <c r="C106" s="229"/>
      <c r="D106" s="229"/>
      <c r="E106" s="229"/>
      <c r="F106" s="229"/>
      <c r="G106" s="229"/>
      <c r="H106" s="34"/>
      <c r="I106" s="29"/>
    </row>
    <row r="107" spans="1:9">
      <c r="A107" s="1" t="s">
        <v>135</v>
      </c>
      <c r="B107" s="201" t="s">
        <v>136</v>
      </c>
      <c r="C107" s="201"/>
      <c r="D107" s="201"/>
      <c r="E107" s="201"/>
      <c r="F107" s="201"/>
      <c r="G107" s="201"/>
      <c r="H107" s="38">
        <v>6.4999999999999997E-3</v>
      </c>
      <c r="I107" s="19">
        <f>H107*I117</f>
        <v>29.546855000000001</v>
      </c>
    </row>
    <row r="108" spans="1:9">
      <c r="A108" s="1" t="s">
        <v>137</v>
      </c>
      <c r="B108" s="201" t="s">
        <v>138</v>
      </c>
      <c r="C108" s="201"/>
      <c r="D108" s="201"/>
      <c r="E108" s="201"/>
      <c r="F108" s="201"/>
      <c r="G108" s="201"/>
      <c r="H108" s="39">
        <v>0.03</v>
      </c>
      <c r="I108" s="19">
        <f>H108*I117</f>
        <v>136.37010000000001</v>
      </c>
    </row>
    <row r="109" spans="1:9">
      <c r="A109" s="1" t="s">
        <v>139</v>
      </c>
      <c r="B109" s="201" t="s">
        <v>140</v>
      </c>
      <c r="C109" s="201"/>
      <c r="D109" s="201"/>
      <c r="E109" s="201"/>
      <c r="F109" s="201"/>
      <c r="G109" s="201"/>
      <c r="H109" s="40">
        <v>0.05</v>
      </c>
      <c r="I109" s="19">
        <f>H109*I117</f>
        <v>227.2835</v>
      </c>
    </row>
    <row r="110" spans="1:9">
      <c r="A110" s="209" t="s">
        <v>141</v>
      </c>
      <c r="B110" s="209"/>
      <c r="C110" s="209"/>
      <c r="D110" s="209"/>
      <c r="E110" s="209"/>
      <c r="F110" s="209"/>
      <c r="G110" s="209"/>
      <c r="H110" s="38"/>
      <c r="I110" s="15">
        <f>TRUNC(SUM(I104:I109),2)</f>
        <v>770.47</v>
      </c>
    </row>
    <row r="111" spans="1:9">
      <c r="A111" s="10"/>
      <c r="B111" s="230"/>
      <c r="C111" s="230"/>
      <c r="D111" s="230"/>
      <c r="E111" s="230"/>
      <c r="F111" s="230"/>
      <c r="G111" s="230"/>
      <c r="H111" s="230"/>
      <c r="I111" s="230"/>
    </row>
    <row r="112" spans="1:9">
      <c r="A112" s="21" t="s">
        <v>142</v>
      </c>
      <c r="B112" s="231" t="s">
        <v>143</v>
      </c>
      <c r="C112" s="231"/>
      <c r="D112" s="231"/>
      <c r="E112" s="231"/>
      <c r="F112" s="231"/>
      <c r="G112" s="231"/>
      <c r="H112" s="22">
        <f>TRUNC(H107+H108+H109,4)</f>
        <v>8.6499999999999994E-2</v>
      </c>
      <c r="I112" s="30"/>
    </row>
    <row r="113" spans="1:11">
      <c r="A113" s="23"/>
      <c r="B113" s="232">
        <v>100</v>
      </c>
      <c r="C113" s="232"/>
      <c r="D113" s="232"/>
      <c r="E113" s="232"/>
      <c r="F113" s="232"/>
      <c r="G113" s="232"/>
      <c r="H113" s="25"/>
      <c r="I113" s="31"/>
    </row>
    <row r="114" spans="1:11">
      <c r="A114" s="26"/>
      <c r="B114" s="24"/>
      <c r="C114" s="24"/>
      <c r="D114" s="24"/>
      <c r="E114" s="24"/>
      <c r="F114" s="24"/>
      <c r="G114" s="24"/>
      <c r="H114" s="25"/>
      <c r="I114" s="31"/>
    </row>
    <row r="115" spans="1:11">
      <c r="A115" s="23" t="s">
        <v>144</v>
      </c>
      <c r="B115" s="232" t="s">
        <v>145</v>
      </c>
      <c r="C115" s="232"/>
      <c r="D115" s="232"/>
      <c r="E115" s="232"/>
      <c r="F115" s="232"/>
      <c r="G115" s="232"/>
      <c r="H115" s="25"/>
      <c r="I115" s="31">
        <f>TRUNC(I128+I104+I105,2)</f>
        <v>4152.47</v>
      </c>
    </row>
    <row r="116" spans="1:11">
      <c r="A116" s="23"/>
      <c r="B116" s="24"/>
      <c r="C116" s="24"/>
      <c r="D116" s="24"/>
      <c r="E116" s="24"/>
      <c r="F116" s="24"/>
      <c r="G116" s="24"/>
      <c r="H116" s="25"/>
      <c r="I116" s="31"/>
    </row>
    <row r="117" spans="1:11">
      <c r="A117" s="23" t="s">
        <v>146</v>
      </c>
      <c r="B117" s="232" t="s">
        <v>147</v>
      </c>
      <c r="C117" s="232"/>
      <c r="D117" s="232"/>
      <c r="E117" s="232"/>
      <c r="F117" s="232"/>
      <c r="G117" s="232"/>
      <c r="H117" s="25"/>
      <c r="I117" s="31">
        <f>TRUNC(I115/(1-H112),2)</f>
        <v>4545.67</v>
      </c>
    </row>
    <row r="118" spans="1:11">
      <c r="A118" s="23"/>
      <c r="B118" s="24"/>
      <c r="C118" s="24"/>
      <c r="D118" s="24"/>
      <c r="E118" s="24"/>
      <c r="F118" s="24"/>
      <c r="G118" s="24"/>
      <c r="H118" s="25"/>
      <c r="I118" s="31"/>
    </row>
    <row r="119" spans="1:11">
      <c r="A119" s="27"/>
      <c r="B119" s="233" t="s">
        <v>148</v>
      </c>
      <c r="C119" s="233"/>
      <c r="D119" s="233"/>
      <c r="E119" s="233"/>
      <c r="F119" s="233"/>
      <c r="G119" s="233"/>
      <c r="H119" s="28"/>
      <c r="I119" s="32">
        <f>TRUNC(I117-I115,2)</f>
        <v>393.2</v>
      </c>
      <c r="K119" s="41"/>
    </row>
    <row r="120" spans="1:11">
      <c r="A120" s="10"/>
      <c r="B120" s="10"/>
      <c r="C120" s="10"/>
      <c r="D120" s="10"/>
      <c r="E120" s="10"/>
      <c r="F120" s="10"/>
      <c r="G120" s="10"/>
      <c r="H120" s="10"/>
      <c r="I120" s="16"/>
    </row>
    <row r="121" spans="1:11">
      <c r="A121" s="219" t="s">
        <v>149</v>
      </c>
      <c r="B121" s="219"/>
      <c r="C121" s="219"/>
      <c r="D121" s="219"/>
      <c r="E121" s="219"/>
      <c r="F121" s="219"/>
      <c r="G121" s="219"/>
      <c r="H121" s="219"/>
      <c r="I121" s="219"/>
      <c r="K121" s="33"/>
    </row>
    <row r="122" spans="1:11">
      <c r="A122" s="209" t="s">
        <v>150</v>
      </c>
      <c r="B122" s="209"/>
      <c r="C122" s="209"/>
      <c r="D122" s="209"/>
      <c r="E122" s="209"/>
      <c r="F122" s="209"/>
      <c r="G122" s="209"/>
      <c r="H122" s="209"/>
      <c r="I122" s="1" t="s">
        <v>49</v>
      </c>
    </row>
    <row r="123" spans="1:11">
      <c r="A123" s="2" t="s">
        <v>20</v>
      </c>
      <c r="B123" s="201" t="str">
        <f>A21</f>
        <v>MÓDULO 1 - COMPOSIÇÃO DA REMUNERAÇÃO</v>
      </c>
      <c r="C123" s="201"/>
      <c r="D123" s="201"/>
      <c r="E123" s="201"/>
      <c r="F123" s="201"/>
      <c r="G123" s="201"/>
      <c r="H123" s="201"/>
      <c r="I123" s="19">
        <f>I29</f>
        <v>1905.76</v>
      </c>
    </row>
    <row r="124" spans="1:11">
      <c r="A124" s="2" t="s">
        <v>23</v>
      </c>
      <c r="B124" s="201" t="str">
        <f>A31</f>
        <v>MÓDULO 2 – ENCARGOS E BENEFÍCIOS ANUAIS, MENSAIS E DIÁRIOS</v>
      </c>
      <c r="C124" s="201"/>
      <c r="D124" s="201"/>
      <c r="E124" s="201"/>
      <c r="F124" s="201"/>
      <c r="G124" s="201"/>
      <c r="H124" s="201"/>
      <c r="I124" s="19">
        <f>I62</f>
        <v>1385.43</v>
      </c>
    </row>
    <row r="125" spans="1:11">
      <c r="A125" s="2" t="s">
        <v>26</v>
      </c>
      <c r="B125" s="201" t="str">
        <f>A64</f>
        <v>MÓDULO 3 – PROVISÃO PARA RESCISÃO</v>
      </c>
      <c r="C125" s="201"/>
      <c r="D125" s="201"/>
      <c r="E125" s="201"/>
      <c r="F125" s="201"/>
      <c r="G125" s="201"/>
      <c r="H125" s="201"/>
      <c r="I125" s="19">
        <f>I72</f>
        <v>134.88999999999999</v>
      </c>
      <c r="K125" s="33"/>
    </row>
    <row r="126" spans="1:11">
      <c r="A126" s="2" t="s">
        <v>29</v>
      </c>
      <c r="B126" s="201" t="str">
        <f>A74</f>
        <v>MÓDULO 4 – CUSTO DE REPOSIÇÃO DO PROFISSIONAL AUSENTE</v>
      </c>
      <c r="C126" s="201"/>
      <c r="D126" s="201"/>
      <c r="E126" s="201"/>
      <c r="F126" s="201"/>
      <c r="G126" s="201"/>
      <c r="H126" s="201"/>
      <c r="I126" s="19">
        <f>I92</f>
        <v>317.58999999999997</v>
      </c>
      <c r="K126" s="33"/>
    </row>
    <row r="127" spans="1:11">
      <c r="A127" s="2" t="s">
        <v>54</v>
      </c>
      <c r="B127" s="201" t="str">
        <f>A94</f>
        <v>MÓDULO 5 – INSUMOS DIVERSOS</v>
      </c>
      <c r="C127" s="201"/>
      <c r="D127" s="201"/>
      <c r="E127" s="201"/>
      <c r="F127" s="201"/>
      <c r="G127" s="201"/>
      <c r="H127" s="201"/>
      <c r="I127" s="19">
        <f>I100</f>
        <v>31.53</v>
      </c>
    </row>
    <row r="128" spans="1:11">
      <c r="A128" s="1"/>
      <c r="B128" s="209" t="s">
        <v>151</v>
      </c>
      <c r="C128" s="209"/>
      <c r="D128" s="209"/>
      <c r="E128" s="209"/>
      <c r="F128" s="209"/>
      <c r="G128" s="209"/>
      <c r="H128" s="209"/>
      <c r="I128" s="15">
        <f>TRUNC(SUM(I123:I127),2)</f>
        <v>3775.2</v>
      </c>
      <c r="K128" s="41"/>
    </row>
    <row r="129" spans="1:9">
      <c r="A129" s="2" t="s">
        <v>56</v>
      </c>
      <c r="B129" s="201" t="str">
        <f>A102</f>
        <v>MÓDULO 6 – CUSTOS INDIRETOS, TRIBUTOS E LUCRO</v>
      </c>
      <c r="C129" s="201"/>
      <c r="D129" s="201"/>
      <c r="E129" s="201"/>
      <c r="F129" s="201"/>
      <c r="G129" s="201"/>
      <c r="H129" s="201"/>
      <c r="I129" s="19">
        <f>I110</f>
        <v>770.47</v>
      </c>
    </row>
    <row r="130" spans="1:9">
      <c r="A130" s="209" t="s">
        <v>152</v>
      </c>
      <c r="B130" s="209"/>
      <c r="C130" s="209"/>
      <c r="D130" s="209"/>
      <c r="E130" s="209"/>
      <c r="F130" s="209"/>
      <c r="G130" s="209"/>
      <c r="H130" s="209"/>
      <c r="I130" s="15">
        <f>TRUNC(SUM(I128:I129),2)</f>
        <v>4545.67</v>
      </c>
    </row>
    <row r="131" spans="1:9" hidden="1">
      <c r="A131" s="209" t="s">
        <v>153</v>
      </c>
      <c r="B131" s="209"/>
      <c r="C131" s="209"/>
      <c r="D131" s="235">
        <v>0</v>
      </c>
      <c r="E131" s="236"/>
      <c r="F131" s="236"/>
      <c r="G131" s="236"/>
      <c r="H131" s="236"/>
      <c r="I131" s="237"/>
    </row>
    <row r="132" spans="1:9" hidden="1">
      <c r="A132" s="2"/>
      <c r="B132" s="199" t="s">
        <v>154</v>
      </c>
      <c r="C132" s="199"/>
      <c r="D132" s="199"/>
      <c r="E132" s="199"/>
      <c r="F132" s="199"/>
      <c r="G132" s="199"/>
      <c r="H132" s="1"/>
      <c r="I132" s="1"/>
    </row>
    <row r="133" spans="1:9" ht="40.5" hidden="1" customHeight="1">
      <c r="A133" s="234" t="s">
        <v>155</v>
      </c>
      <c r="B133" s="234"/>
      <c r="C133" s="234" t="s">
        <v>156</v>
      </c>
      <c r="D133" s="234"/>
      <c r="E133" s="234" t="s">
        <v>157</v>
      </c>
      <c r="F133" s="234"/>
      <c r="G133" s="43" t="s">
        <v>158</v>
      </c>
      <c r="H133" s="43" t="s">
        <v>159</v>
      </c>
      <c r="I133" s="1" t="s">
        <v>49</v>
      </c>
    </row>
    <row r="134" spans="1:9" hidden="1">
      <c r="A134" s="199" t="s">
        <v>160</v>
      </c>
      <c r="B134" s="199"/>
      <c r="C134" s="201" t="s">
        <v>161</v>
      </c>
      <c r="D134" s="201"/>
      <c r="E134" s="199"/>
      <c r="F134" s="199"/>
      <c r="G134" s="5" t="s">
        <v>161</v>
      </c>
      <c r="H134" s="5"/>
      <c r="I134" s="19">
        <v>0</v>
      </c>
    </row>
    <row r="135" spans="1:9" hidden="1">
      <c r="A135" s="199" t="s">
        <v>162</v>
      </c>
      <c r="B135" s="199"/>
      <c r="C135" s="201" t="s">
        <v>161</v>
      </c>
      <c r="D135" s="201"/>
      <c r="E135" s="199"/>
      <c r="F135" s="199"/>
      <c r="G135" s="5" t="s">
        <v>161</v>
      </c>
      <c r="H135" s="5"/>
      <c r="I135" s="19">
        <v>0</v>
      </c>
    </row>
    <row r="136" spans="1:9" hidden="1">
      <c r="A136" s="199" t="s">
        <v>163</v>
      </c>
      <c r="B136" s="199"/>
      <c r="C136" s="201" t="s">
        <v>161</v>
      </c>
      <c r="D136" s="201"/>
      <c r="E136" s="199"/>
      <c r="F136" s="199"/>
      <c r="G136" s="5" t="s">
        <v>161</v>
      </c>
      <c r="H136" s="5"/>
      <c r="I136" s="19">
        <v>0</v>
      </c>
    </row>
    <row r="137" spans="1:9" hidden="1">
      <c r="A137" s="199" t="s">
        <v>164</v>
      </c>
      <c r="B137" s="199"/>
      <c r="C137" s="201" t="s">
        <v>161</v>
      </c>
      <c r="D137" s="201"/>
      <c r="E137" s="199"/>
      <c r="F137" s="199"/>
      <c r="G137" s="5" t="s">
        <v>161</v>
      </c>
      <c r="H137" s="5"/>
      <c r="I137" s="19">
        <v>0</v>
      </c>
    </row>
    <row r="138" spans="1:9" hidden="1">
      <c r="A138" s="209"/>
      <c r="B138" s="209"/>
      <c r="C138" s="199"/>
      <c r="D138" s="199"/>
      <c r="E138" s="199"/>
      <c r="F138" s="199"/>
      <c r="G138" s="8"/>
      <c r="H138" s="8"/>
      <c r="I138" s="19"/>
    </row>
    <row r="139" spans="1:9" hidden="1">
      <c r="A139" s="209"/>
      <c r="B139" s="209"/>
      <c r="C139" s="199"/>
      <c r="D139" s="199"/>
      <c r="E139" s="199"/>
      <c r="F139" s="199"/>
      <c r="G139" s="5"/>
      <c r="H139" s="5"/>
      <c r="I139" s="19"/>
    </row>
    <row r="140" spans="1:9" hidden="1">
      <c r="A140" s="209" t="s">
        <v>165</v>
      </c>
      <c r="B140" s="209"/>
      <c r="C140" s="209"/>
      <c r="D140" s="209"/>
      <c r="E140" s="209"/>
      <c r="F140" s="209"/>
      <c r="G140" s="209"/>
      <c r="H140" s="209"/>
      <c r="I140" s="15">
        <f>SUM(I138:I139)</f>
        <v>0</v>
      </c>
    </row>
    <row r="141" spans="1:9" hidden="1">
      <c r="A141" s="5"/>
      <c r="B141" s="5"/>
      <c r="C141" s="5"/>
      <c r="D141" s="5"/>
      <c r="E141" s="5"/>
      <c r="F141" s="5"/>
      <c r="G141" s="5"/>
      <c r="H141" s="5"/>
      <c r="I141" s="5"/>
    </row>
    <row r="142" spans="1:9" hidden="1">
      <c r="A142" s="2" t="s">
        <v>166</v>
      </c>
      <c r="B142" s="199" t="s">
        <v>167</v>
      </c>
      <c r="C142" s="199"/>
      <c r="D142" s="199"/>
      <c r="E142" s="199"/>
      <c r="F142" s="199"/>
      <c r="G142" s="199"/>
      <c r="H142" s="1"/>
      <c r="I142" s="1"/>
    </row>
    <row r="143" spans="1:9" hidden="1">
      <c r="A143" s="209" t="s">
        <v>168</v>
      </c>
      <c r="B143" s="209"/>
      <c r="C143" s="209"/>
      <c r="D143" s="209"/>
      <c r="E143" s="209"/>
      <c r="F143" s="209"/>
      <c r="G143" s="209"/>
      <c r="H143" s="209"/>
      <c r="I143" s="209"/>
    </row>
    <row r="144" spans="1:9" hidden="1">
      <c r="A144" s="2"/>
      <c r="B144" s="229" t="s">
        <v>3</v>
      </c>
      <c r="C144" s="229"/>
      <c r="D144" s="229"/>
      <c r="E144" s="229"/>
      <c r="F144" s="229"/>
      <c r="G144" s="229"/>
      <c r="H144" s="229"/>
      <c r="I144" s="1" t="s">
        <v>49</v>
      </c>
    </row>
    <row r="145" spans="1:9" hidden="1">
      <c r="A145" s="2" t="s">
        <v>20</v>
      </c>
      <c r="B145" s="201" t="s">
        <v>169</v>
      </c>
      <c r="C145" s="201"/>
      <c r="D145" s="201"/>
      <c r="E145" s="201"/>
      <c r="F145" s="201"/>
      <c r="G145" s="201"/>
      <c r="H145" s="201"/>
      <c r="I145" s="19">
        <f>I107</f>
        <v>29.546855000000001</v>
      </c>
    </row>
    <row r="146" spans="1:9" hidden="1">
      <c r="A146" s="2" t="s">
        <v>23</v>
      </c>
      <c r="B146" s="201" t="s">
        <v>170</v>
      </c>
      <c r="C146" s="201"/>
      <c r="D146" s="201"/>
      <c r="E146" s="201"/>
      <c r="F146" s="201"/>
      <c r="G146" s="201"/>
      <c r="H146" s="201"/>
      <c r="I146" s="19" t="e">
        <f>#REF!</f>
        <v>#REF!</v>
      </c>
    </row>
    <row r="147" spans="1:9" hidden="1">
      <c r="A147" s="2" t="s">
        <v>26</v>
      </c>
      <c r="B147" s="201" t="s">
        <v>171</v>
      </c>
      <c r="C147" s="201"/>
      <c r="D147" s="201"/>
      <c r="E147" s="201"/>
      <c r="F147" s="201"/>
      <c r="G147" s="201"/>
      <c r="H147" s="201"/>
      <c r="I147" s="19">
        <f>I110</f>
        <v>770.47</v>
      </c>
    </row>
    <row r="148" spans="1:9" hidden="1">
      <c r="A148" s="199" t="s">
        <v>172</v>
      </c>
      <c r="B148" s="199"/>
      <c r="C148" s="199"/>
      <c r="D148" s="199"/>
      <c r="E148" s="199"/>
      <c r="F148" s="199"/>
      <c r="G148" s="199"/>
      <c r="H148" s="199"/>
      <c r="I148" s="15" t="e">
        <f>SUM(I145:I147)</f>
        <v>#REF!</v>
      </c>
    </row>
    <row r="149" spans="1:9" hidden="1">
      <c r="A149" s="2" t="s">
        <v>173</v>
      </c>
      <c r="B149" s="5" t="s">
        <v>174</v>
      </c>
      <c r="C149" s="5"/>
      <c r="D149" s="5"/>
      <c r="E149" s="5"/>
      <c r="F149" s="5"/>
      <c r="G149" s="5"/>
      <c r="H149" s="5"/>
      <c r="I149" s="5"/>
    </row>
    <row r="150" spans="1:9" hidden="1">
      <c r="A150" s="5"/>
      <c r="B150" s="5"/>
      <c r="C150" s="5"/>
      <c r="D150" s="5"/>
      <c r="E150" s="5"/>
      <c r="F150" s="5"/>
      <c r="G150" s="5"/>
      <c r="H150" s="5"/>
      <c r="I150" s="5"/>
    </row>
    <row r="151" spans="1:9" hidden="1">
      <c r="A151" s="5"/>
      <c r="B151" s="5"/>
      <c r="C151" s="5"/>
      <c r="D151" s="5"/>
      <c r="E151" s="5"/>
      <c r="F151" s="5"/>
      <c r="G151" s="5"/>
      <c r="H151" s="5"/>
      <c r="I151" s="5"/>
    </row>
    <row r="152" spans="1:9" hidden="1">
      <c r="A152" s="209" t="s">
        <v>175</v>
      </c>
      <c r="B152" s="209"/>
      <c r="C152" s="209"/>
      <c r="D152" s="243">
        <f>D131*I130</f>
        <v>0</v>
      </c>
      <c r="E152" s="243"/>
      <c r="F152" s="243"/>
      <c r="G152" s="243"/>
      <c r="H152" s="243"/>
      <c r="I152" s="243"/>
    </row>
    <row r="153" spans="1:9">
      <c r="A153" s="11"/>
      <c r="B153" s="11"/>
      <c r="C153" s="11"/>
      <c r="D153" s="53"/>
      <c r="E153" s="53"/>
      <c r="F153" s="53"/>
      <c r="G153" s="53"/>
      <c r="H153" s="53"/>
      <c r="I153" s="53"/>
    </row>
    <row r="155" spans="1:9" ht="66" customHeight="1">
      <c r="A155" s="239" t="s">
        <v>176</v>
      </c>
      <c r="B155" s="240"/>
      <c r="C155" s="240"/>
      <c r="D155" s="240"/>
      <c r="E155" s="240"/>
      <c r="F155" s="240"/>
      <c r="G155" s="240"/>
      <c r="H155" s="240"/>
      <c r="I155" s="240"/>
    </row>
    <row r="156" spans="1:9" ht="12.75" customHeight="1">
      <c r="A156" s="46"/>
      <c r="B156" s="47"/>
      <c r="C156" s="47"/>
      <c r="D156" s="47"/>
      <c r="E156" s="47"/>
      <c r="F156" s="47"/>
      <c r="G156" s="47"/>
      <c r="H156" s="47"/>
      <c r="I156" s="47"/>
    </row>
    <row r="157" spans="1:9" ht="26.25" customHeight="1">
      <c r="A157" s="241" t="s">
        <v>177</v>
      </c>
      <c r="B157" s="242"/>
      <c r="C157" s="242"/>
      <c r="D157" s="242"/>
      <c r="E157" s="242"/>
      <c r="F157" s="242"/>
      <c r="G157" s="242"/>
      <c r="H157" s="242"/>
      <c r="I157" s="242"/>
    </row>
    <row r="159" spans="1:9" ht="28.5" customHeight="1">
      <c r="A159" s="238" t="s">
        <v>178</v>
      </c>
      <c r="B159" s="238"/>
      <c r="C159" s="238"/>
      <c r="D159" s="238"/>
      <c r="E159" s="238"/>
      <c r="F159" s="238"/>
      <c r="G159" s="238"/>
      <c r="H159" s="238"/>
    </row>
    <row r="162" spans="1:5">
      <c r="A162" s="17" t="s">
        <v>179</v>
      </c>
      <c r="B162" s="17">
        <f>I130/I123</f>
        <v>2.3852268911090588</v>
      </c>
    </row>
    <row r="163" spans="1:5">
      <c r="A163" s="33"/>
      <c r="B163" s="17"/>
      <c r="E163" s="42"/>
    </row>
    <row r="164" spans="1:5">
      <c r="A164" s="17" t="s">
        <v>180</v>
      </c>
      <c r="B164" s="17"/>
      <c r="C164" s="33">
        <f>1*'Servente com insumos'!I130</f>
        <v>4918.7700000000004</v>
      </c>
    </row>
    <row r="165" spans="1:5">
      <c r="A165" s="17" t="s">
        <v>181</v>
      </c>
      <c r="B165" s="17"/>
      <c r="C165" s="33">
        <f>2*H8*C164</f>
        <v>236100.96000000002</v>
      </c>
    </row>
    <row r="166" spans="1:5">
      <c r="A166" s="42"/>
    </row>
    <row r="167" spans="1:5">
      <c r="A167" s="42"/>
    </row>
  </sheetData>
  <mergeCells count="172">
    <mergeCell ref="A159:H159"/>
    <mergeCell ref="B147:H147"/>
    <mergeCell ref="A148:H148"/>
    <mergeCell ref="A152:C152"/>
    <mergeCell ref="D152:I152"/>
    <mergeCell ref="A155:I155"/>
    <mergeCell ref="A157:I157"/>
    <mergeCell ref="A140:H140"/>
    <mergeCell ref="B142:G142"/>
    <mergeCell ref="A143:I143"/>
    <mergeCell ref="B144:H144"/>
    <mergeCell ref="B145:H145"/>
    <mergeCell ref="B146:H146"/>
    <mergeCell ref="A138:B138"/>
    <mergeCell ref="C138:D138"/>
    <mergeCell ref="E138:F138"/>
    <mergeCell ref="A139:B139"/>
    <mergeCell ref="C139:D139"/>
    <mergeCell ref="E139:F139"/>
    <mergeCell ref="A136:B136"/>
    <mergeCell ref="C136:D136"/>
    <mergeCell ref="E136:F136"/>
    <mergeCell ref="A137:B137"/>
    <mergeCell ref="C137:D137"/>
    <mergeCell ref="E137:F137"/>
    <mergeCell ref="A134:B134"/>
    <mergeCell ref="C134:D134"/>
    <mergeCell ref="E134:F134"/>
    <mergeCell ref="A135:B135"/>
    <mergeCell ref="C135:D135"/>
    <mergeCell ref="E135:F135"/>
    <mergeCell ref="A131:C131"/>
    <mergeCell ref="D131:I131"/>
    <mergeCell ref="B132:G132"/>
    <mergeCell ref="A133:B133"/>
    <mergeCell ref="C133:D133"/>
    <mergeCell ref="E133:F133"/>
    <mergeCell ref="B125:H125"/>
    <mergeCell ref="B126:H126"/>
    <mergeCell ref="B127:H127"/>
    <mergeCell ref="B128:H128"/>
    <mergeCell ref="B129:H129"/>
    <mergeCell ref="A130:H130"/>
    <mergeCell ref="B117:G117"/>
    <mergeCell ref="B119:G119"/>
    <mergeCell ref="A121:I121"/>
    <mergeCell ref="A122:H122"/>
    <mergeCell ref="B123:H123"/>
    <mergeCell ref="B124:H124"/>
    <mergeCell ref="B109:G109"/>
    <mergeCell ref="A110:G110"/>
    <mergeCell ref="B111:I111"/>
    <mergeCell ref="B112:G112"/>
    <mergeCell ref="B113:G113"/>
    <mergeCell ref="B115:G115"/>
    <mergeCell ref="B103:G103"/>
    <mergeCell ref="B104:G104"/>
    <mergeCell ref="B105:G105"/>
    <mergeCell ref="B106:G106"/>
    <mergeCell ref="B107:G107"/>
    <mergeCell ref="B108:G108"/>
    <mergeCell ref="B97:G97"/>
    <mergeCell ref="B98:G98"/>
    <mergeCell ref="B99:G99"/>
    <mergeCell ref="A100:G100"/>
    <mergeCell ref="A101:I101"/>
    <mergeCell ref="A102:I102"/>
    <mergeCell ref="B91:H91"/>
    <mergeCell ref="A92:H92"/>
    <mergeCell ref="A93:I93"/>
    <mergeCell ref="A94:I94"/>
    <mergeCell ref="B95:G95"/>
    <mergeCell ref="B96:G96"/>
    <mergeCell ref="B85:G85"/>
    <mergeCell ref="A86:G86"/>
    <mergeCell ref="A87:I87"/>
    <mergeCell ref="A88:I88"/>
    <mergeCell ref="A89:H89"/>
    <mergeCell ref="B90:H90"/>
    <mergeCell ref="B79:G79"/>
    <mergeCell ref="B80:G80"/>
    <mergeCell ref="B81:G81"/>
    <mergeCell ref="A82:G82"/>
    <mergeCell ref="A83:I83"/>
    <mergeCell ref="A84:G84"/>
    <mergeCell ref="A73:I73"/>
    <mergeCell ref="A74:I74"/>
    <mergeCell ref="A75:G75"/>
    <mergeCell ref="B76:G76"/>
    <mergeCell ref="B77:G77"/>
    <mergeCell ref="B78:G78"/>
    <mergeCell ref="B67:G67"/>
    <mergeCell ref="B68:G68"/>
    <mergeCell ref="B69:G69"/>
    <mergeCell ref="B70:G70"/>
    <mergeCell ref="B71:G71"/>
    <mergeCell ref="A72:G72"/>
    <mergeCell ref="B61:H61"/>
    <mergeCell ref="A62:H62"/>
    <mergeCell ref="A63:I63"/>
    <mergeCell ref="A64:I64"/>
    <mergeCell ref="B65:G65"/>
    <mergeCell ref="B66:G66"/>
    <mergeCell ref="A55:H55"/>
    <mergeCell ref="A56:I56"/>
    <mergeCell ref="A57:I57"/>
    <mergeCell ref="A58:H58"/>
    <mergeCell ref="B59:H59"/>
    <mergeCell ref="B60:H60"/>
    <mergeCell ref="B49:G49"/>
    <mergeCell ref="B50:G50"/>
    <mergeCell ref="B51:G51"/>
    <mergeCell ref="B52:G52"/>
    <mergeCell ref="B53:G53"/>
    <mergeCell ref="B54:G54"/>
    <mergeCell ref="B43:G43"/>
    <mergeCell ref="B44:G44"/>
    <mergeCell ref="B45:G45"/>
    <mergeCell ref="A46:G46"/>
    <mergeCell ref="A47:I47"/>
    <mergeCell ref="A48:G48"/>
    <mergeCell ref="A37:G37"/>
    <mergeCell ref="B38:G38"/>
    <mergeCell ref="B39:G39"/>
    <mergeCell ref="B40:G40"/>
    <mergeCell ref="B41:G41"/>
    <mergeCell ref="B42:G42"/>
    <mergeCell ref="A31:I31"/>
    <mergeCell ref="A32:G32"/>
    <mergeCell ref="B33:G33"/>
    <mergeCell ref="B34:G34"/>
    <mergeCell ref="A35:G35"/>
    <mergeCell ref="A36:I36"/>
    <mergeCell ref="B24:G24"/>
    <mergeCell ref="B25:G25"/>
    <mergeCell ref="B26:G26"/>
    <mergeCell ref="B27:G27"/>
    <mergeCell ref="B28:G28"/>
    <mergeCell ref="A29:H29"/>
    <mergeCell ref="B19:G19"/>
    <mergeCell ref="H19:I19"/>
    <mergeCell ref="A20:I20"/>
    <mergeCell ref="A21:I21"/>
    <mergeCell ref="B22:G22"/>
    <mergeCell ref="B23:G23"/>
    <mergeCell ref="B16:G16"/>
    <mergeCell ref="H16:I16"/>
    <mergeCell ref="B17:G17"/>
    <mergeCell ref="H17:I17"/>
    <mergeCell ref="B18:G18"/>
    <mergeCell ref="H18:I18"/>
    <mergeCell ref="A12:B12"/>
    <mergeCell ref="C12:D12"/>
    <mergeCell ref="E12:I12"/>
    <mergeCell ref="A14:I14"/>
    <mergeCell ref="B15:G15"/>
    <mergeCell ref="H15:I15"/>
    <mergeCell ref="B7:G7"/>
    <mergeCell ref="H7:I7"/>
    <mergeCell ref="B8:G8"/>
    <mergeCell ref="H8:I8"/>
    <mergeCell ref="A10:I10"/>
    <mergeCell ref="A11:B11"/>
    <mergeCell ref="C11:D11"/>
    <mergeCell ref="E11:I11"/>
    <mergeCell ref="A1:I1"/>
    <mergeCell ref="A2:I2"/>
    <mergeCell ref="A4:I4"/>
    <mergeCell ref="B5:G5"/>
    <mergeCell ref="H5:I5"/>
    <mergeCell ref="B6:G6"/>
    <mergeCell ref="H6:I6"/>
  </mergeCells>
  <pageMargins left="0.511811024" right="0.511811024" top="0.78740157499999996" bottom="0.78740157499999996" header="0.31496062000000002" footer="0.31496062000000002"/>
  <pageSetup paperSize="9" scale="6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6840D-9D8D-4CEF-A464-F42AF463D2E6}">
  <dimension ref="A1:K167"/>
  <sheetViews>
    <sheetView topLeftCell="A73" workbookViewId="0">
      <selection activeCell="I96" sqref="I96"/>
    </sheetView>
  </sheetViews>
  <sheetFormatPr defaultColWidth="9.140625" defaultRowHeight="12.75"/>
  <cols>
    <col min="1" max="1" width="10" customWidth="1"/>
    <col min="2" max="2" width="11.42578125" customWidth="1"/>
    <col min="3" max="3" width="15" customWidth="1"/>
    <col min="4" max="4" width="14.140625" customWidth="1"/>
    <col min="5" max="5" width="17.5703125" customWidth="1"/>
    <col min="6" max="6" width="14.5703125" customWidth="1"/>
    <col min="7" max="7" width="19.140625" customWidth="1"/>
    <col min="8" max="8" width="11" bestFit="1" customWidth="1"/>
    <col min="9" max="9" width="13.42578125" customWidth="1"/>
    <col min="10" max="10" width="9.5703125" customWidth="1"/>
    <col min="11" max="11" width="14" customWidth="1"/>
    <col min="13" max="13" width="9.5703125" customWidth="1"/>
  </cols>
  <sheetData>
    <row r="1" spans="1:9">
      <c r="A1" s="202"/>
      <c r="B1" s="202"/>
      <c r="C1" s="202"/>
      <c r="D1" s="202"/>
      <c r="E1" s="202"/>
      <c r="F1" s="202"/>
      <c r="G1" s="202"/>
      <c r="H1" s="202"/>
      <c r="I1" s="202"/>
    </row>
    <row r="2" spans="1:9">
      <c r="A2" s="203" t="s">
        <v>182</v>
      </c>
      <c r="B2" s="203"/>
      <c r="C2" s="203"/>
      <c r="D2" s="203"/>
      <c r="E2" s="203"/>
      <c r="F2" s="203"/>
      <c r="G2" s="203"/>
      <c r="H2" s="203"/>
      <c r="I2" s="203"/>
    </row>
    <row r="3" spans="1:9">
      <c r="A3" s="9"/>
      <c r="B3" s="9"/>
      <c r="C3" s="9"/>
      <c r="D3" s="9"/>
      <c r="E3" s="9"/>
      <c r="F3" s="9"/>
      <c r="G3" s="9"/>
      <c r="H3" s="9"/>
      <c r="I3" s="9"/>
    </row>
    <row r="4" spans="1:9">
      <c r="A4" s="200" t="s">
        <v>19</v>
      </c>
      <c r="B4" s="200"/>
      <c r="C4" s="200"/>
      <c r="D4" s="200"/>
      <c r="E4" s="200"/>
      <c r="F4" s="200"/>
      <c r="G4" s="200"/>
      <c r="H4" s="200"/>
      <c r="I4" s="200"/>
    </row>
    <row r="5" spans="1:9">
      <c r="A5" s="2" t="s">
        <v>20</v>
      </c>
      <c r="B5" s="201" t="s">
        <v>21</v>
      </c>
      <c r="C5" s="201"/>
      <c r="D5" s="201"/>
      <c r="E5" s="201"/>
      <c r="F5" s="201"/>
      <c r="G5" s="201"/>
      <c r="H5" s="204" t="s">
        <v>22</v>
      </c>
      <c r="I5" s="199"/>
    </row>
    <row r="6" spans="1:9">
      <c r="A6" s="2" t="s">
        <v>23</v>
      </c>
      <c r="B6" s="201" t="s">
        <v>24</v>
      </c>
      <c r="C6" s="201"/>
      <c r="D6" s="201"/>
      <c r="E6" s="201"/>
      <c r="F6" s="201"/>
      <c r="G6" s="201"/>
      <c r="H6" s="199" t="s">
        <v>25</v>
      </c>
      <c r="I6" s="199"/>
    </row>
    <row r="7" spans="1:9">
      <c r="A7" s="2" t="s">
        <v>26</v>
      </c>
      <c r="B7" s="201" t="s">
        <v>27</v>
      </c>
      <c r="C7" s="201"/>
      <c r="D7" s="201"/>
      <c r="E7" s="201"/>
      <c r="F7" s="201"/>
      <c r="G7" s="201"/>
      <c r="H7" s="197">
        <v>2022</v>
      </c>
      <c r="I7" s="199"/>
    </row>
    <row r="8" spans="1:9">
      <c r="A8" s="2" t="s">
        <v>29</v>
      </c>
      <c r="B8" s="201" t="s">
        <v>30</v>
      </c>
      <c r="C8" s="201"/>
      <c r="D8" s="201"/>
      <c r="E8" s="201"/>
      <c r="F8" s="201"/>
      <c r="G8" s="201"/>
      <c r="H8" s="199">
        <v>12</v>
      </c>
      <c r="I8" s="199"/>
    </row>
    <row r="9" spans="1:9">
      <c r="A9" s="10"/>
      <c r="B9" s="9"/>
      <c r="C9" s="9"/>
      <c r="D9" s="9"/>
      <c r="E9" s="9"/>
      <c r="F9" s="9"/>
      <c r="G9" s="9"/>
      <c r="H9" s="10"/>
      <c r="I9" s="10"/>
    </row>
    <row r="10" spans="1:9">
      <c r="A10" s="200" t="s">
        <v>31</v>
      </c>
      <c r="B10" s="200"/>
      <c r="C10" s="200"/>
      <c r="D10" s="200"/>
      <c r="E10" s="200"/>
      <c r="F10" s="200"/>
      <c r="G10" s="200"/>
      <c r="H10" s="200"/>
      <c r="I10" s="200"/>
    </row>
    <row r="11" spans="1:9">
      <c r="A11" s="199" t="s">
        <v>32</v>
      </c>
      <c r="B11" s="199"/>
      <c r="C11" s="199" t="s">
        <v>33</v>
      </c>
      <c r="D11" s="199"/>
      <c r="E11" s="199" t="s">
        <v>34</v>
      </c>
      <c r="F11" s="199"/>
      <c r="G11" s="199"/>
      <c r="H11" s="199"/>
      <c r="I11" s="199"/>
    </row>
    <row r="12" spans="1:9">
      <c r="A12" s="199" t="s">
        <v>35</v>
      </c>
      <c r="B12" s="199"/>
      <c r="C12" s="199" t="s">
        <v>36</v>
      </c>
      <c r="D12" s="199"/>
      <c r="E12" s="199">
        <v>2</v>
      </c>
      <c r="F12" s="199"/>
      <c r="G12" s="199"/>
      <c r="H12" s="199"/>
      <c r="I12" s="199"/>
    </row>
    <row r="13" spans="1:9">
      <c r="A13" s="10"/>
      <c r="B13" s="9"/>
      <c r="C13" s="9"/>
      <c r="D13" s="9"/>
      <c r="E13" s="9"/>
      <c r="F13" s="9"/>
      <c r="G13" s="9"/>
      <c r="H13" s="10"/>
      <c r="I13" s="10"/>
    </row>
    <row r="14" spans="1:9">
      <c r="A14" s="200" t="s">
        <v>37</v>
      </c>
      <c r="B14" s="200"/>
      <c r="C14" s="200"/>
      <c r="D14" s="200"/>
      <c r="E14" s="200"/>
      <c r="F14" s="200"/>
      <c r="G14" s="200"/>
      <c r="H14" s="200"/>
      <c r="I14" s="200"/>
    </row>
    <row r="15" spans="1:9">
      <c r="A15" s="2">
        <v>1</v>
      </c>
      <c r="B15" s="201" t="s">
        <v>38</v>
      </c>
      <c r="C15" s="201"/>
      <c r="D15" s="201"/>
      <c r="E15" s="201"/>
      <c r="F15" s="201"/>
      <c r="G15" s="201"/>
      <c r="H15" s="197" t="s">
        <v>39</v>
      </c>
      <c r="I15" s="199"/>
    </row>
    <row r="16" spans="1:9">
      <c r="A16" s="2">
        <v>2</v>
      </c>
      <c r="B16" s="201" t="s">
        <v>40</v>
      </c>
      <c r="C16" s="201"/>
      <c r="D16" s="201"/>
      <c r="E16" s="201"/>
      <c r="F16" s="201"/>
      <c r="G16" s="201"/>
      <c r="H16" s="205" t="s">
        <v>41</v>
      </c>
      <c r="I16" s="206"/>
    </row>
    <row r="17" spans="1:11">
      <c r="A17" s="2">
        <v>3</v>
      </c>
      <c r="B17" s="201" t="s">
        <v>42</v>
      </c>
      <c r="C17" s="201"/>
      <c r="D17" s="201"/>
      <c r="E17" s="201"/>
      <c r="F17" s="201"/>
      <c r="G17" s="201"/>
      <c r="H17" s="207">
        <v>1260.4000000000001</v>
      </c>
      <c r="I17" s="199"/>
    </row>
    <row r="18" spans="1:11">
      <c r="A18" s="2">
        <v>4</v>
      </c>
      <c r="B18" s="201" t="s">
        <v>43</v>
      </c>
      <c r="C18" s="201"/>
      <c r="D18" s="201"/>
      <c r="E18" s="201"/>
      <c r="F18" s="201"/>
      <c r="G18" s="201"/>
      <c r="H18" s="199" t="s">
        <v>44</v>
      </c>
      <c r="I18" s="199"/>
    </row>
    <row r="19" spans="1:11">
      <c r="A19" s="2">
        <v>5</v>
      </c>
      <c r="B19" s="201" t="s">
        <v>45</v>
      </c>
      <c r="C19" s="201"/>
      <c r="D19" s="201"/>
      <c r="E19" s="201"/>
      <c r="F19" s="201"/>
      <c r="G19" s="201"/>
      <c r="H19" s="204">
        <v>44927</v>
      </c>
      <c r="I19" s="199"/>
    </row>
    <row r="20" spans="1:11">
      <c r="A20" s="202"/>
      <c r="B20" s="202"/>
      <c r="C20" s="202"/>
      <c r="D20" s="202"/>
      <c r="E20" s="202"/>
      <c r="F20" s="202"/>
      <c r="G20" s="202"/>
      <c r="H20" s="202"/>
      <c r="I20" s="202"/>
    </row>
    <row r="21" spans="1:11">
      <c r="A21" s="208" t="s">
        <v>46</v>
      </c>
      <c r="B21" s="208"/>
      <c r="C21" s="208"/>
      <c r="D21" s="208"/>
      <c r="E21" s="208"/>
      <c r="F21" s="208"/>
      <c r="G21" s="208"/>
      <c r="H21" s="208"/>
      <c r="I21" s="208"/>
    </row>
    <row r="22" spans="1:11">
      <c r="A22" s="1">
        <v>1</v>
      </c>
      <c r="B22" s="209" t="s">
        <v>47</v>
      </c>
      <c r="C22" s="209"/>
      <c r="D22" s="209"/>
      <c r="E22" s="209"/>
      <c r="F22" s="209"/>
      <c r="G22" s="209"/>
      <c r="H22" s="1" t="s">
        <v>48</v>
      </c>
      <c r="I22" s="1" t="s">
        <v>49</v>
      </c>
    </row>
    <row r="23" spans="1:11">
      <c r="A23" s="1" t="s">
        <v>20</v>
      </c>
      <c r="B23" s="201" t="s">
        <v>50</v>
      </c>
      <c r="C23" s="201"/>
      <c r="D23" s="201"/>
      <c r="E23" s="201"/>
      <c r="F23" s="201"/>
      <c r="G23" s="201"/>
      <c r="H23" s="5"/>
      <c r="I23" s="19">
        <f>H17</f>
        <v>1260.4000000000001</v>
      </c>
    </row>
    <row r="24" spans="1:11">
      <c r="A24" s="1" t="s">
        <v>23</v>
      </c>
      <c r="B24" s="201" t="s">
        <v>51</v>
      </c>
      <c r="C24" s="201"/>
      <c r="D24" s="201"/>
      <c r="E24" s="201"/>
      <c r="F24" s="201"/>
      <c r="G24" s="201"/>
      <c r="H24" s="34">
        <v>0</v>
      </c>
      <c r="I24" s="19">
        <f>I23*H24</f>
        <v>0</v>
      </c>
      <c r="K24" s="41"/>
    </row>
    <row r="25" spans="1:11">
      <c r="A25" s="1" t="s">
        <v>26</v>
      </c>
      <c r="B25" s="201" t="s">
        <v>52</v>
      </c>
      <c r="C25" s="201"/>
      <c r="D25" s="201"/>
      <c r="E25" s="201"/>
      <c r="F25" s="201"/>
      <c r="G25" s="201"/>
      <c r="H25" s="34">
        <v>0</v>
      </c>
      <c r="I25" s="19">
        <f>H25*I23</f>
        <v>0</v>
      </c>
    </row>
    <row r="26" spans="1:11">
      <c r="A26" s="1" t="s">
        <v>29</v>
      </c>
      <c r="B26" s="201" t="s">
        <v>53</v>
      </c>
      <c r="C26" s="201"/>
      <c r="D26" s="201"/>
      <c r="E26" s="201"/>
      <c r="F26" s="201"/>
      <c r="G26" s="201"/>
      <c r="H26" s="34">
        <v>0</v>
      </c>
      <c r="I26" s="19">
        <f>(((I23+I24)/220)*H26*8*15)</f>
        <v>0</v>
      </c>
    </row>
    <row r="27" spans="1:11">
      <c r="A27" s="1" t="s">
        <v>54</v>
      </c>
      <c r="B27" s="201" t="s">
        <v>55</v>
      </c>
      <c r="C27" s="201"/>
      <c r="D27" s="201"/>
      <c r="E27" s="201"/>
      <c r="F27" s="201"/>
      <c r="G27" s="201"/>
      <c r="H27" s="35"/>
      <c r="I27" s="19">
        <v>0</v>
      </c>
    </row>
    <row r="28" spans="1:11">
      <c r="A28" s="1" t="s">
        <v>56</v>
      </c>
      <c r="B28" s="201" t="s">
        <v>57</v>
      </c>
      <c r="C28" s="201"/>
      <c r="D28" s="201"/>
      <c r="E28" s="201"/>
      <c r="F28" s="201"/>
      <c r="G28" s="201"/>
      <c r="H28" s="34"/>
      <c r="I28" s="19">
        <v>0</v>
      </c>
    </row>
    <row r="29" spans="1:11">
      <c r="A29" s="209" t="s">
        <v>58</v>
      </c>
      <c r="B29" s="209"/>
      <c r="C29" s="209"/>
      <c r="D29" s="209"/>
      <c r="E29" s="209"/>
      <c r="F29" s="209"/>
      <c r="G29" s="209"/>
      <c r="H29" s="209"/>
      <c r="I29" s="15">
        <f>TRUNC(SUM(I23:I28),2)</f>
        <v>1260.4000000000001</v>
      </c>
    </row>
    <row r="30" spans="1:11">
      <c r="A30" s="11"/>
      <c r="B30" s="11"/>
      <c r="C30" s="11"/>
      <c r="D30" s="11"/>
      <c r="E30" s="11"/>
      <c r="F30" s="11"/>
      <c r="G30" s="11"/>
      <c r="H30" s="11"/>
      <c r="I30" s="16"/>
    </row>
    <row r="31" spans="1:11">
      <c r="A31" s="208" t="s">
        <v>59</v>
      </c>
      <c r="B31" s="208"/>
      <c r="C31" s="208"/>
      <c r="D31" s="208"/>
      <c r="E31" s="208"/>
      <c r="F31" s="208"/>
      <c r="G31" s="208"/>
      <c r="H31" s="208"/>
      <c r="I31" s="208"/>
    </row>
    <row r="32" spans="1:11">
      <c r="A32" s="209" t="s">
        <v>60</v>
      </c>
      <c r="B32" s="209"/>
      <c r="C32" s="209"/>
      <c r="D32" s="209"/>
      <c r="E32" s="209"/>
      <c r="F32" s="209"/>
      <c r="G32" s="209"/>
      <c r="H32" s="1" t="s">
        <v>48</v>
      </c>
      <c r="I32" s="1" t="s">
        <v>49</v>
      </c>
    </row>
    <row r="33" spans="1:11">
      <c r="A33" s="1" t="s">
        <v>20</v>
      </c>
      <c r="B33" s="201" t="s">
        <v>61</v>
      </c>
      <c r="C33" s="201"/>
      <c r="D33" s="201"/>
      <c r="E33" s="201"/>
      <c r="F33" s="201"/>
      <c r="G33" s="201"/>
      <c r="H33" s="20">
        <v>8.3299999999999999E-2</v>
      </c>
      <c r="I33" s="19">
        <f>TRUNC($I$29*H33,2)</f>
        <v>104.99</v>
      </c>
    </row>
    <row r="34" spans="1:11">
      <c r="A34" s="1" t="s">
        <v>23</v>
      </c>
      <c r="B34" s="201" t="s">
        <v>62</v>
      </c>
      <c r="C34" s="201"/>
      <c r="D34" s="201"/>
      <c r="E34" s="201"/>
      <c r="F34" s="201"/>
      <c r="G34" s="201"/>
      <c r="H34" s="12">
        <v>0.121</v>
      </c>
      <c r="I34" s="19">
        <f>TRUNC(H34*I29,2)</f>
        <v>152.5</v>
      </c>
    </row>
    <row r="35" spans="1:11">
      <c r="A35" s="209" t="s">
        <v>63</v>
      </c>
      <c r="B35" s="209"/>
      <c r="C35" s="209"/>
      <c r="D35" s="209"/>
      <c r="E35" s="209"/>
      <c r="F35" s="209"/>
      <c r="G35" s="209"/>
      <c r="H35" s="13">
        <f>TRUNC(SUM(H33:H34),4)</f>
        <v>0.20430000000000001</v>
      </c>
      <c r="I35" s="15">
        <f>TRUNC(SUM(I33:I34),2)</f>
        <v>257.49</v>
      </c>
    </row>
    <row r="36" spans="1:11">
      <c r="A36" s="210"/>
      <c r="B36" s="211"/>
      <c r="C36" s="211"/>
      <c r="D36" s="211"/>
      <c r="E36" s="211"/>
      <c r="F36" s="211"/>
      <c r="G36" s="211"/>
      <c r="H36" s="211"/>
      <c r="I36" s="211"/>
      <c r="J36" s="17" t="s">
        <v>64</v>
      </c>
      <c r="K36" s="33">
        <f>I29+I35</f>
        <v>1517.89</v>
      </c>
    </row>
    <row r="37" spans="1:11">
      <c r="A37" s="209" t="s">
        <v>65</v>
      </c>
      <c r="B37" s="209"/>
      <c r="C37" s="209"/>
      <c r="D37" s="209"/>
      <c r="E37" s="209"/>
      <c r="F37" s="209"/>
      <c r="G37" s="209"/>
      <c r="H37" s="1" t="s">
        <v>48</v>
      </c>
      <c r="I37" s="1" t="s">
        <v>49</v>
      </c>
    </row>
    <row r="38" spans="1:11">
      <c r="A38" s="1" t="s">
        <v>20</v>
      </c>
      <c r="B38" s="201" t="s">
        <v>66</v>
      </c>
      <c r="C38" s="201"/>
      <c r="D38" s="201"/>
      <c r="E38" s="201"/>
      <c r="F38" s="201"/>
      <c r="G38" s="201"/>
      <c r="H38" s="20">
        <v>0.2</v>
      </c>
      <c r="I38" s="19">
        <f>H38*$K$36</f>
        <v>303.57800000000003</v>
      </c>
    </row>
    <row r="39" spans="1:11">
      <c r="A39" s="1" t="s">
        <v>23</v>
      </c>
      <c r="B39" s="201" t="s">
        <v>67</v>
      </c>
      <c r="C39" s="201"/>
      <c r="D39" s="201"/>
      <c r="E39" s="201"/>
      <c r="F39" s="201"/>
      <c r="G39" s="201"/>
      <c r="H39" s="20">
        <v>2.5000000000000001E-2</v>
      </c>
      <c r="I39" s="19">
        <f t="shared" ref="I39:I45" si="0">H39*$K$36</f>
        <v>37.947250000000004</v>
      </c>
    </row>
    <row r="40" spans="1:11">
      <c r="A40" s="1" t="s">
        <v>26</v>
      </c>
      <c r="B40" s="201" t="s">
        <v>68</v>
      </c>
      <c r="C40" s="201"/>
      <c r="D40" s="201"/>
      <c r="E40" s="201"/>
      <c r="F40" s="201"/>
      <c r="G40" s="201"/>
      <c r="H40" s="20">
        <v>1.4999999999999999E-2</v>
      </c>
      <c r="I40" s="19">
        <f t="shared" si="0"/>
        <v>22.768350000000002</v>
      </c>
    </row>
    <row r="41" spans="1:11">
      <c r="A41" s="1" t="s">
        <v>29</v>
      </c>
      <c r="B41" s="201" t="s">
        <v>69</v>
      </c>
      <c r="C41" s="201"/>
      <c r="D41" s="201"/>
      <c r="E41" s="201"/>
      <c r="F41" s="201"/>
      <c r="G41" s="201"/>
      <c r="H41" s="20">
        <v>1.4999999999999999E-2</v>
      </c>
      <c r="I41" s="19">
        <f t="shared" si="0"/>
        <v>22.768350000000002</v>
      </c>
    </row>
    <row r="42" spans="1:11">
      <c r="A42" s="1" t="s">
        <v>54</v>
      </c>
      <c r="B42" s="201" t="s">
        <v>70</v>
      </c>
      <c r="C42" s="201"/>
      <c r="D42" s="201"/>
      <c r="E42" s="201"/>
      <c r="F42" s="201"/>
      <c r="G42" s="201"/>
      <c r="H42" s="20">
        <v>0.01</v>
      </c>
      <c r="I42" s="19">
        <f t="shared" si="0"/>
        <v>15.178900000000001</v>
      </c>
    </row>
    <row r="43" spans="1:11">
      <c r="A43" s="1" t="s">
        <v>56</v>
      </c>
      <c r="B43" s="201" t="s">
        <v>71</v>
      </c>
      <c r="C43" s="201"/>
      <c r="D43" s="201"/>
      <c r="E43" s="201"/>
      <c r="F43" s="201"/>
      <c r="G43" s="201"/>
      <c r="H43" s="20">
        <v>6.0000000000000001E-3</v>
      </c>
      <c r="I43" s="19">
        <f t="shared" si="0"/>
        <v>9.1073400000000007</v>
      </c>
    </row>
    <row r="44" spans="1:11">
      <c r="A44" s="1" t="s">
        <v>72</v>
      </c>
      <c r="B44" s="201" t="s">
        <v>73</v>
      </c>
      <c r="C44" s="201"/>
      <c r="D44" s="201"/>
      <c r="E44" s="201"/>
      <c r="F44" s="201"/>
      <c r="G44" s="201"/>
      <c r="H44" s="20">
        <v>2E-3</v>
      </c>
      <c r="I44" s="19">
        <f t="shared" si="0"/>
        <v>3.0357800000000004</v>
      </c>
    </row>
    <row r="45" spans="1:11">
      <c r="A45" s="1" t="s">
        <v>74</v>
      </c>
      <c r="B45" s="201" t="s">
        <v>75</v>
      </c>
      <c r="C45" s="201"/>
      <c r="D45" s="201"/>
      <c r="E45" s="201"/>
      <c r="F45" s="201"/>
      <c r="G45" s="201"/>
      <c r="H45" s="20">
        <v>0.08</v>
      </c>
      <c r="I45" s="19">
        <f t="shared" si="0"/>
        <v>121.4312</v>
      </c>
    </row>
    <row r="46" spans="1:11">
      <c r="A46" s="209" t="s">
        <v>76</v>
      </c>
      <c r="B46" s="209"/>
      <c r="C46" s="209"/>
      <c r="D46" s="209"/>
      <c r="E46" s="209"/>
      <c r="F46" s="209"/>
      <c r="G46" s="209"/>
      <c r="H46" s="13">
        <f>SUM(H38:H45)</f>
        <v>0.35300000000000004</v>
      </c>
      <c r="I46" s="15">
        <f>TRUNC(SUM(I38:I45),2)</f>
        <v>535.80999999999995</v>
      </c>
    </row>
    <row r="47" spans="1:11">
      <c r="A47" s="212"/>
      <c r="B47" s="212"/>
      <c r="C47" s="212"/>
      <c r="D47" s="212"/>
      <c r="E47" s="212"/>
      <c r="F47" s="212"/>
      <c r="G47" s="212"/>
      <c r="H47" s="212"/>
      <c r="I47" s="213"/>
    </row>
    <row r="48" spans="1:11">
      <c r="A48" s="209" t="s">
        <v>77</v>
      </c>
      <c r="B48" s="209"/>
      <c r="C48" s="209"/>
      <c r="D48" s="209"/>
      <c r="E48" s="209"/>
      <c r="F48" s="209"/>
      <c r="G48" s="209"/>
      <c r="H48" s="13"/>
      <c r="I48" s="1" t="s">
        <v>49</v>
      </c>
    </row>
    <row r="49" spans="1:11">
      <c r="A49" s="1" t="s">
        <v>20</v>
      </c>
      <c r="B49" s="214" t="s">
        <v>78</v>
      </c>
      <c r="C49" s="215"/>
      <c r="D49" s="215"/>
      <c r="E49" s="215"/>
      <c r="F49" s="215"/>
      <c r="G49" s="215"/>
      <c r="H49" s="2">
        <v>52</v>
      </c>
      <c r="I49" s="18">
        <f>3.9*H49-K49</f>
        <v>127.17599999999997</v>
      </c>
      <c r="K49">
        <f>I23*0.06</f>
        <v>75.624000000000009</v>
      </c>
    </row>
    <row r="50" spans="1:11">
      <c r="A50" s="1" t="s">
        <v>23</v>
      </c>
      <c r="B50" s="214" t="s">
        <v>79</v>
      </c>
      <c r="C50" s="215"/>
      <c r="D50" s="215"/>
      <c r="E50" s="215"/>
      <c r="F50" s="215"/>
      <c r="G50" s="215"/>
      <c r="H50" s="2" t="s">
        <v>22</v>
      </c>
      <c r="I50" s="18">
        <f>193.05-193.05*0.2</f>
        <v>154.44</v>
      </c>
      <c r="K50" s="41">
        <f>568.04*12.47%+568.04</f>
        <v>638.8745879999999</v>
      </c>
    </row>
    <row r="51" spans="1:11">
      <c r="A51" s="1" t="s">
        <v>26</v>
      </c>
      <c r="B51" s="215" t="s">
        <v>80</v>
      </c>
      <c r="C51" s="215"/>
      <c r="D51" s="215"/>
      <c r="E51" s="215"/>
      <c r="F51" s="215"/>
      <c r="G51" s="215"/>
      <c r="H51" s="2" t="s">
        <v>22</v>
      </c>
      <c r="I51" s="18">
        <v>12.12</v>
      </c>
      <c r="K51" s="41">
        <f>105.29*12.13%+105.29</f>
        <v>118.061677</v>
      </c>
    </row>
    <row r="52" spans="1:11">
      <c r="A52" s="1" t="s">
        <v>29</v>
      </c>
      <c r="B52" s="216" t="s">
        <v>81</v>
      </c>
      <c r="C52" s="217"/>
      <c r="D52" s="217"/>
      <c r="E52" s="217"/>
      <c r="F52" s="217"/>
      <c r="G52" s="218"/>
      <c r="H52" s="2" t="s">
        <v>22</v>
      </c>
      <c r="I52" s="18">
        <v>110.16</v>
      </c>
      <c r="K52" s="41">
        <f>11.83*12.13%+11.83</f>
        <v>13.264979</v>
      </c>
    </row>
    <row r="53" spans="1:11">
      <c r="A53" s="1" t="s">
        <v>54</v>
      </c>
      <c r="B53" s="216" t="s">
        <v>82</v>
      </c>
      <c r="C53" s="217"/>
      <c r="D53" s="217"/>
      <c r="E53" s="217"/>
      <c r="F53" s="217"/>
      <c r="G53" s="218"/>
      <c r="H53" s="2" t="s">
        <v>22</v>
      </c>
      <c r="I53" s="18">
        <v>0.73</v>
      </c>
    </row>
    <row r="54" spans="1:11">
      <c r="A54" s="1" t="s">
        <v>56</v>
      </c>
      <c r="B54" s="215" t="s">
        <v>83</v>
      </c>
      <c r="C54" s="215"/>
      <c r="D54" s="215"/>
      <c r="E54" s="215"/>
      <c r="F54" s="215"/>
      <c r="G54" s="215"/>
      <c r="H54" s="2" t="s">
        <v>22</v>
      </c>
      <c r="I54" s="18">
        <v>0</v>
      </c>
    </row>
    <row r="55" spans="1:11">
      <c r="A55" s="209" t="s">
        <v>84</v>
      </c>
      <c r="B55" s="209"/>
      <c r="C55" s="209"/>
      <c r="D55" s="209"/>
      <c r="E55" s="209"/>
      <c r="F55" s="209"/>
      <c r="G55" s="209"/>
      <c r="H55" s="209"/>
      <c r="I55" s="15">
        <f>SUM(I49:I54)</f>
        <v>404.62599999999998</v>
      </c>
    </row>
    <row r="56" spans="1:11">
      <c r="A56" s="212"/>
      <c r="B56" s="212"/>
      <c r="C56" s="212"/>
      <c r="D56" s="212"/>
      <c r="E56" s="212"/>
      <c r="F56" s="212"/>
      <c r="G56" s="212"/>
      <c r="H56" s="212"/>
      <c r="I56" s="213"/>
    </row>
    <row r="57" spans="1:11">
      <c r="A57" s="219" t="s">
        <v>85</v>
      </c>
      <c r="B57" s="219"/>
      <c r="C57" s="219"/>
      <c r="D57" s="219"/>
      <c r="E57" s="219"/>
      <c r="F57" s="219"/>
      <c r="G57" s="219"/>
      <c r="H57" s="219"/>
      <c r="I57" s="219"/>
    </row>
    <row r="58" spans="1:11">
      <c r="A58" s="209" t="s">
        <v>86</v>
      </c>
      <c r="B58" s="209"/>
      <c r="C58" s="209"/>
      <c r="D58" s="209"/>
      <c r="E58" s="209"/>
      <c r="F58" s="209"/>
      <c r="G58" s="209"/>
      <c r="H58" s="209"/>
      <c r="I58" s="1" t="s">
        <v>49</v>
      </c>
    </row>
    <row r="59" spans="1:11">
      <c r="A59" s="1" t="s">
        <v>87</v>
      </c>
      <c r="B59" s="199" t="s">
        <v>88</v>
      </c>
      <c r="C59" s="199"/>
      <c r="D59" s="199"/>
      <c r="E59" s="199"/>
      <c r="F59" s="199"/>
      <c r="G59" s="199"/>
      <c r="H59" s="199"/>
      <c r="I59" s="19">
        <f>I35</f>
        <v>257.49</v>
      </c>
    </row>
    <row r="60" spans="1:11">
      <c r="A60" s="1" t="s">
        <v>89</v>
      </c>
      <c r="B60" s="199" t="s">
        <v>90</v>
      </c>
      <c r="C60" s="199"/>
      <c r="D60" s="199"/>
      <c r="E60" s="199"/>
      <c r="F60" s="199"/>
      <c r="G60" s="199"/>
      <c r="H60" s="199"/>
      <c r="I60" s="19">
        <f>I46</f>
        <v>535.80999999999995</v>
      </c>
    </row>
    <row r="61" spans="1:11">
      <c r="A61" s="1" t="s">
        <v>91</v>
      </c>
      <c r="B61" s="199" t="s">
        <v>92</v>
      </c>
      <c r="C61" s="199"/>
      <c r="D61" s="199"/>
      <c r="E61" s="199"/>
      <c r="F61" s="199"/>
      <c r="G61" s="199"/>
      <c r="H61" s="199"/>
      <c r="I61" s="19">
        <f>I55</f>
        <v>404.62599999999998</v>
      </c>
    </row>
    <row r="62" spans="1:11">
      <c r="A62" s="209" t="s">
        <v>93</v>
      </c>
      <c r="B62" s="209"/>
      <c r="C62" s="209"/>
      <c r="D62" s="209"/>
      <c r="E62" s="209"/>
      <c r="F62" s="209"/>
      <c r="G62" s="209"/>
      <c r="H62" s="209"/>
      <c r="I62" s="15">
        <f>TRUNC(SUM(I59:I61),2)</f>
        <v>1197.92</v>
      </c>
    </row>
    <row r="63" spans="1:11">
      <c r="A63" s="220"/>
      <c r="B63" s="221"/>
      <c r="C63" s="221"/>
      <c r="D63" s="221"/>
      <c r="E63" s="221"/>
      <c r="F63" s="221"/>
      <c r="G63" s="221"/>
      <c r="H63" s="221"/>
      <c r="I63" s="221"/>
    </row>
    <row r="64" spans="1:11">
      <c r="A64" s="208" t="s">
        <v>94</v>
      </c>
      <c r="B64" s="208"/>
      <c r="C64" s="208"/>
      <c r="D64" s="208"/>
      <c r="E64" s="208"/>
      <c r="F64" s="208"/>
      <c r="G64" s="208"/>
      <c r="H64" s="208"/>
      <c r="I64" s="208"/>
    </row>
    <row r="65" spans="1:11">
      <c r="A65" s="1">
        <v>3</v>
      </c>
      <c r="B65" s="209" t="s">
        <v>95</v>
      </c>
      <c r="C65" s="209"/>
      <c r="D65" s="209"/>
      <c r="E65" s="209"/>
      <c r="F65" s="209"/>
      <c r="G65" s="209"/>
      <c r="H65" s="1" t="s">
        <v>48</v>
      </c>
      <c r="I65" s="1" t="s">
        <v>49</v>
      </c>
    </row>
    <row r="66" spans="1:11">
      <c r="A66" s="1" t="s">
        <v>20</v>
      </c>
      <c r="B66" s="201" t="s">
        <v>96</v>
      </c>
      <c r="C66" s="201"/>
      <c r="D66" s="201"/>
      <c r="E66" s="201"/>
      <c r="F66" s="201"/>
      <c r="G66" s="201"/>
      <c r="H66" s="20">
        <v>4.1999999999999997E-3</v>
      </c>
      <c r="I66" s="19">
        <f>H66*$I$23</f>
        <v>5.2936800000000002</v>
      </c>
    </row>
    <row r="67" spans="1:11">
      <c r="A67" s="1" t="s">
        <v>23</v>
      </c>
      <c r="B67" s="201" t="s">
        <v>97</v>
      </c>
      <c r="C67" s="201"/>
      <c r="D67" s="201"/>
      <c r="E67" s="201"/>
      <c r="F67" s="201"/>
      <c r="G67" s="201"/>
      <c r="H67" s="20">
        <v>3.3599999999999998E-4</v>
      </c>
      <c r="I67" s="19">
        <f t="shared" ref="I67:I71" si="1">H67*$I$23</f>
        <v>0.42349439999999999</v>
      </c>
      <c r="K67" s="48"/>
    </row>
    <row r="68" spans="1:11">
      <c r="A68" s="1" t="s">
        <v>26</v>
      </c>
      <c r="B68" s="201" t="s">
        <v>98</v>
      </c>
      <c r="C68" s="201"/>
      <c r="D68" s="201"/>
      <c r="E68" s="201"/>
      <c r="F68" s="201"/>
      <c r="G68" s="201"/>
      <c r="H68" s="20">
        <v>3.4700000000000002E-2</v>
      </c>
      <c r="I68" s="19">
        <f t="shared" si="1"/>
        <v>43.735880000000009</v>
      </c>
    </row>
    <row r="69" spans="1:11">
      <c r="A69" s="1" t="s">
        <v>29</v>
      </c>
      <c r="B69" s="201" t="s">
        <v>99</v>
      </c>
      <c r="C69" s="201"/>
      <c r="D69" s="201"/>
      <c r="E69" s="201"/>
      <c r="F69" s="201"/>
      <c r="G69" s="201"/>
      <c r="H69" s="20">
        <v>1.9400000000000001E-2</v>
      </c>
      <c r="I69" s="19">
        <f t="shared" si="1"/>
        <v>24.451760000000004</v>
      </c>
    </row>
    <row r="70" spans="1:11">
      <c r="A70" s="1" t="s">
        <v>54</v>
      </c>
      <c r="B70" s="222" t="s">
        <v>100</v>
      </c>
      <c r="C70" s="222"/>
      <c r="D70" s="222"/>
      <c r="E70" s="222"/>
      <c r="F70" s="222"/>
      <c r="G70" s="222"/>
      <c r="H70" s="51">
        <f>H46*H69</f>
        <v>6.8482000000000013E-3</v>
      </c>
      <c r="I70" s="19">
        <f t="shared" si="1"/>
        <v>8.6314712800000031</v>
      </c>
    </row>
    <row r="71" spans="1:11">
      <c r="A71" s="1" t="s">
        <v>56</v>
      </c>
      <c r="B71" s="201" t="s">
        <v>101</v>
      </c>
      <c r="C71" s="201"/>
      <c r="D71" s="201"/>
      <c r="E71" s="201"/>
      <c r="F71" s="201"/>
      <c r="G71" s="201"/>
      <c r="H71" s="20">
        <v>5.3E-3</v>
      </c>
      <c r="I71" s="19">
        <f t="shared" si="1"/>
        <v>6.6801200000000005</v>
      </c>
    </row>
    <row r="72" spans="1:11">
      <c r="A72" s="209" t="s">
        <v>102</v>
      </c>
      <c r="B72" s="209"/>
      <c r="C72" s="209"/>
      <c r="D72" s="209"/>
      <c r="E72" s="209"/>
      <c r="F72" s="209"/>
      <c r="G72" s="209"/>
      <c r="H72" s="13">
        <f>TRUNC(SUM(H66:H71),4)</f>
        <v>7.0699999999999999E-2</v>
      </c>
      <c r="I72" s="15">
        <f>TRUNC(SUM(I66:I71),2)</f>
        <v>89.21</v>
      </c>
    </row>
    <row r="73" spans="1:11">
      <c r="A73" s="223"/>
      <c r="B73" s="224"/>
      <c r="C73" s="224"/>
      <c r="D73" s="224"/>
      <c r="E73" s="224"/>
      <c r="F73" s="224"/>
      <c r="G73" s="224"/>
      <c r="H73" s="224"/>
      <c r="I73" s="224"/>
    </row>
    <row r="74" spans="1:11">
      <c r="A74" s="208" t="s">
        <v>103</v>
      </c>
      <c r="B74" s="208"/>
      <c r="C74" s="208"/>
      <c r="D74" s="208"/>
      <c r="E74" s="208"/>
      <c r="F74" s="208"/>
      <c r="G74" s="208"/>
      <c r="H74" s="208"/>
      <c r="I74" s="208"/>
      <c r="J74" s="17" t="s">
        <v>104</v>
      </c>
      <c r="K74" s="33">
        <f>I29+I62+I72</f>
        <v>2547.5300000000002</v>
      </c>
    </row>
    <row r="75" spans="1:11">
      <c r="A75" s="209" t="s">
        <v>105</v>
      </c>
      <c r="B75" s="209"/>
      <c r="C75" s="209"/>
      <c r="D75" s="209"/>
      <c r="E75" s="209"/>
      <c r="F75" s="209"/>
      <c r="G75" s="209"/>
      <c r="H75" s="1" t="s">
        <v>48</v>
      </c>
      <c r="I75" s="1" t="s">
        <v>49</v>
      </c>
    </row>
    <row r="76" spans="1:11">
      <c r="A76" s="1" t="s">
        <v>20</v>
      </c>
      <c r="B76" s="201" t="s">
        <v>106</v>
      </c>
      <c r="C76" s="201"/>
      <c r="D76" s="201"/>
      <c r="E76" s="201"/>
      <c r="F76" s="201"/>
      <c r="G76" s="201"/>
      <c r="H76" s="20">
        <v>1.6199999999999999E-2</v>
      </c>
      <c r="I76" s="19">
        <f>H76*$I$29</f>
        <v>20.418479999999999</v>
      </c>
    </row>
    <row r="77" spans="1:11">
      <c r="A77" s="1" t="s">
        <v>23</v>
      </c>
      <c r="B77" s="201" t="s">
        <v>107</v>
      </c>
      <c r="C77" s="201"/>
      <c r="D77" s="201"/>
      <c r="E77" s="201"/>
      <c r="F77" s="201"/>
      <c r="G77" s="201"/>
      <c r="H77" s="20">
        <v>8.2000000000000007E-3</v>
      </c>
      <c r="I77" s="19">
        <f t="shared" ref="I77:I81" si="2">H77*$I$29</f>
        <v>10.335280000000001</v>
      </c>
    </row>
    <row r="78" spans="1:11">
      <c r="A78" s="1" t="s">
        <v>26</v>
      </c>
      <c r="B78" s="201" t="s">
        <v>108</v>
      </c>
      <c r="C78" s="201"/>
      <c r="D78" s="201"/>
      <c r="E78" s="201"/>
      <c r="F78" s="201"/>
      <c r="G78" s="201"/>
      <c r="H78" s="20">
        <v>2.0000000000000001E-4</v>
      </c>
      <c r="I78" s="19">
        <f t="shared" si="2"/>
        <v>0.25208000000000003</v>
      </c>
    </row>
    <row r="79" spans="1:11">
      <c r="A79" s="1" t="s">
        <v>29</v>
      </c>
      <c r="B79" s="201" t="s">
        <v>109</v>
      </c>
      <c r="C79" s="201"/>
      <c r="D79" s="201"/>
      <c r="E79" s="201"/>
      <c r="F79" s="201"/>
      <c r="G79" s="201"/>
      <c r="H79" s="20">
        <v>2.9999999999999997E-4</v>
      </c>
      <c r="I79" s="19">
        <f t="shared" si="2"/>
        <v>0.37812000000000001</v>
      </c>
    </row>
    <row r="80" spans="1:11">
      <c r="A80" s="1" t="s">
        <v>54</v>
      </c>
      <c r="B80" s="201" t="s">
        <v>110</v>
      </c>
      <c r="C80" s="201"/>
      <c r="D80" s="201"/>
      <c r="E80" s="201"/>
      <c r="F80" s="201"/>
      <c r="G80" s="201"/>
      <c r="H80" s="20">
        <v>6.9999999999999999E-4</v>
      </c>
      <c r="I80" s="19">
        <f t="shared" si="2"/>
        <v>0.88228000000000006</v>
      </c>
      <c r="K80" s="41"/>
    </row>
    <row r="81" spans="1:11">
      <c r="A81" s="1" t="s">
        <v>56</v>
      </c>
      <c r="B81" s="201" t="s">
        <v>111</v>
      </c>
      <c r="C81" s="201"/>
      <c r="D81" s="201"/>
      <c r="E81" s="201"/>
      <c r="F81" s="201"/>
      <c r="G81" s="201"/>
      <c r="H81" s="20">
        <v>0</v>
      </c>
      <c r="I81" s="19">
        <f t="shared" si="2"/>
        <v>0</v>
      </c>
      <c r="K81" s="42"/>
    </row>
    <row r="82" spans="1:11">
      <c r="A82" s="209" t="s">
        <v>112</v>
      </c>
      <c r="B82" s="209"/>
      <c r="C82" s="209"/>
      <c r="D82" s="209"/>
      <c r="E82" s="209"/>
      <c r="F82" s="209"/>
      <c r="G82" s="209"/>
      <c r="H82" s="13">
        <f>TRUNC(SUM(H76:H81),4)</f>
        <v>2.5600000000000001E-2</v>
      </c>
      <c r="I82" s="15">
        <f>TRUNC(SUM(I76:I81),2)</f>
        <v>32.26</v>
      </c>
      <c r="K82" s="42"/>
    </row>
    <row r="83" spans="1:11">
      <c r="A83" s="225"/>
      <c r="B83" s="226"/>
      <c r="C83" s="226"/>
      <c r="D83" s="226"/>
      <c r="E83" s="226"/>
      <c r="F83" s="226"/>
      <c r="G83" s="226"/>
      <c r="H83" s="226"/>
      <c r="I83" s="226"/>
    </row>
    <row r="84" spans="1:11">
      <c r="A84" s="209" t="s">
        <v>113</v>
      </c>
      <c r="B84" s="209"/>
      <c r="C84" s="209"/>
      <c r="D84" s="209"/>
      <c r="E84" s="209"/>
      <c r="F84" s="209"/>
      <c r="G84" s="209"/>
      <c r="H84" s="1" t="s">
        <v>48</v>
      </c>
      <c r="I84" s="1" t="s">
        <v>49</v>
      </c>
    </row>
    <row r="85" spans="1:11">
      <c r="A85" s="1" t="s">
        <v>20</v>
      </c>
      <c r="B85" s="201" t="s">
        <v>114</v>
      </c>
      <c r="C85" s="201"/>
      <c r="D85" s="201"/>
      <c r="E85" s="201"/>
      <c r="F85" s="201"/>
      <c r="G85" s="201"/>
      <c r="H85" s="20">
        <v>0</v>
      </c>
      <c r="I85" s="19">
        <v>0</v>
      </c>
    </row>
    <row r="86" spans="1:11">
      <c r="A86" s="209" t="s">
        <v>115</v>
      </c>
      <c r="B86" s="209"/>
      <c r="C86" s="209"/>
      <c r="D86" s="209"/>
      <c r="E86" s="209"/>
      <c r="F86" s="209"/>
      <c r="G86" s="209"/>
      <c r="H86" s="13">
        <f>TRUNC(SUM(H85),4)</f>
        <v>0</v>
      </c>
      <c r="I86" s="15">
        <f>TRUNC(SUM(I85),2)</f>
        <v>0</v>
      </c>
    </row>
    <row r="87" spans="1:11">
      <c r="A87" s="227"/>
      <c r="B87" s="228"/>
      <c r="C87" s="228"/>
      <c r="D87" s="228"/>
      <c r="E87" s="228"/>
      <c r="F87" s="228"/>
      <c r="G87" s="228"/>
      <c r="H87" s="228"/>
      <c r="I87" s="228"/>
    </row>
    <row r="88" spans="1:11">
      <c r="A88" s="219" t="s">
        <v>116</v>
      </c>
      <c r="B88" s="219"/>
      <c r="C88" s="219"/>
      <c r="D88" s="219"/>
      <c r="E88" s="219"/>
      <c r="F88" s="219"/>
      <c r="G88" s="219"/>
      <c r="H88" s="219"/>
      <c r="I88" s="219"/>
    </row>
    <row r="89" spans="1:11">
      <c r="A89" s="209" t="s">
        <v>117</v>
      </c>
      <c r="B89" s="209"/>
      <c r="C89" s="209"/>
      <c r="D89" s="209"/>
      <c r="E89" s="209"/>
      <c r="F89" s="209"/>
      <c r="G89" s="209"/>
      <c r="H89" s="209"/>
      <c r="I89" s="1" t="s">
        <v>49</v>
      </c>
    </row>
    <row r="90" spans="1:11">
      <c r="A90" s="1" t="s">
        <v>118</v>
      </c>
      <c r="B90" s="199" t="s">
        <v>119</v>
      </c>
      <c r="C90" s="199"/>
      <c r="D90" s="199"/>
      <c r="E90" s="199"/>
      <c r="F90" s="199"/>
      <c r="G90" s="199"/>
      <c r="H90" s="199"/>
      <c r="I90" s="19">
        <f>I82</f>
        <v>32.26</v>
      </c>
    </row>
    <row r="91" spans="1:11">
      <c r="A91" s="1" t="s">
        <v>120</v>
      </c>
      <c r="B91" s="199" t="s">
        <v>121</v>
      </c>
      <c r="C91" s="199"/>
      <c r="D91" s="199"/>
      <c r="E91" s="199"/>
      <c r="F91" s="199"/>
      <c r="G91" s="199"/>
      <c r="H91" s="199"/>
      <c r="I91" s="19">
        <f>I86</f>
        <v>0</v>
      </c>
    </row>
    <row r="92" spans="1:11">
      <c r="A92" s="209" t="s">
        <v>122</v>
      </c>
      <c r="B92" s="209"/>
      <c r="C92" s="209"/>
      <c r="D92" s="209"/>
      <c r="E92" s="209"/>
      <c r="F92" s="209"/>
      <c r="G92" s="209"/>
      <c r="H92" s="209"/>
      <c r="I92" s="15">
        <f>TRUNC(SUM(I90:I91),2)</f>
        <v>32.26</v>
      </c>
    </row>
    <row r="93" spans="1:11">
      <c r="A93" s="220"/>
      <c r="B93" s="221"/>
      <c r="C93" s="221"/>
      <c r="D93" s="221"/>
      <c r="E93" s="221"/>
      <c r="F93" s="221"/>
      <c r="G93" s="221"/>
      <c r="H93" s="221"/>
      <c r="I93" s="221"/>
    </row>
    <row r="94" spans="1:11">
      <c r="A94" s="208" t="s">
        <v>123</v>
      </c>
      <c r="B94" s="208"/>
      <c r="C94" s="208"/>
      <c r="D94" s="208"/>
      <c r="E94" s="208"/>
      <c r="F94" s="208"/>
      <c r="G94" s="208"/>
      <c r="H94" s="208"/>
      <c r="I94" s="208"/>
    </row>
    <row r="95" spans="1:11">
      <c r="A95" s="1">
        <v>5</v>
      </c>
      <c r="B95" s="209" t="s">
        <v>124</v>
      </c>
      <c r="C95" s="209"/>
      <c r="D95" s="209"/>
      <c r="E95" s="209"/>
      <c r="F95" s="209"/>
      <c r="G95" s="209"/>
      <c r="H95" s="1"/>
      <c r="I95" s="1" t="s">
        <v>49</v>
      </c>
    </row>
    <row r="96" spans="1:11">
      <c r="A96" s="1" t="s">
        <v>20</v>
      </c>
      <c r="B96" s="214" t="s">
        <v>125</v>
      </c>
      <c r="C96" s="215"/>
      <c r="D96" s="215"/>
      <c r="E96" s="215"/>
      <c r="F96" s="215"/>
      <c r="G96" s="215"/>
      <c r="H96" s="2" t="s">
        <v>22</v>
      </c>
      <c r="I96" s="19">
        <v>26.4</v>
      </c>
    </row>
    <row r="97" spans="1:9">
      <c r="A97" s="1" t="s">
        <v>23</v>
      </c>
      <c r="B97" s="215" t="s">
        <v>183</v>
      </c>
      <c r="C97" s="215"/>
      <c r="D97" s="215"/>
      <c r="E97" s="215"/>
      <c r="F97" s="215"/>
      <c r="G97" s="215"/>
      <c r="H97" s="2" t="s">
        <v>22</v>
      </c>
      <c r="I97" s="19">
        <v>0</v>
      </c>
    </row>
    <row r="98" spans="1:9">
      <c r="A98" s="14" t="s">
        <v>26</v>
      </c>
      <c r="B98" s="215" t="s">
        <v>127</v>
      </c>
      <c r="C98" s="215"/>
      <c r="D98" s="215"/>
      <c r="E98" s="215"/>
      <c r="F98" s="215"/>
      <c r="G98" s="215"/>
      <c r="H98" s="2" t="s">
        <v>22</v>
      </c>
      <c r="I98" s="19">
        <v>0</v>
      </c>
    </row>
    <row r="99" spans="1:9">
      <c r="A99" s="14" t="s">
        <v>29</v>
      </c>
      <c r="B99" s="215" t="s">
        <v>184</v>
      </c>
      <c r="C99" s="215"/>
      <c r="D99" s="215"/>
      <c r="E99" s="215"/>
      <c r="F99" s="215"/>
      <c r="G99" s="215"/>
      <c r="H99" s="2" t="s">
        <v>22</v>
      </c>
      <c r="I99" s="19">
        <v>0</v>
      </c>
    </row>
    <row r="100" spans="1:9">
      <c r="A100" s="209" t="s">
        <v>129</v>
      </c>
      <c r="B100" s="209"/>
      <c r="C100" s="209"/>
      <c r="D100" s="209"/>
      <c r="E100" s="209"/>
      <c r="F100" s="209"/>
      <c r="G100" s="209"/>
      <c r="H100" s="13" t="s">
        <v>22</v>
      </c>
      <c r="I100" s="15">
        <f>TRUNC(SUM(I96:I99),2)</f>
        <v>26.4</v>
      </c>
    </row>
    <row r="101" spans="1:9">
      <c r="A101" s="220"/>
      <c r="B101" s="221"/>
      <c r="C101" s="221"/>
      <c r="D101" s="221"/>
      <c r="E101" s="221"/>
      <c r="F101" s="221"/>
      <c r="G101" s="221"/>
      <c r="H101" s="221"/>
      <c r="I101" s="221"/>
    </row>
    <row r="102" spans="1:9">
      <c r="A102" s="208" t="s">
        <v>130</v>
      </c>
      <c r="B102" s="208"/>
      <c r="C102" s="208"/>
      <c r="D102" s="208"/>
      <c r="E102" s="208"/>
      <c r="F102" s="208"/>
      <c r="G102" s="208"/>
      <c r="H102" s="208"/>
      <c r="I102" s="208"/>
    </row>
    <row r="103" spans="1:9">
      <c r="A103" s="1">
        <v>6</v>
      </c>
      <c r="B103" s="209" t="s">
        <v>131</v>
      </c>
      <c r="C103" s="209"/>
      <c r="D103" s="209"/>
      <c r="E103" s="209"/>
      <c r="F103" s="209"/>
      <c r="G103" s="209"/>
      <c r="H103" s="1" t="s">
        <v>48</v>
      </c>
      <c r="I103" s="1" t="s">
        <v>49</v>
      </c>
    </row>
    <row r="104" spans="1:9">
      <c r="A104" s="1" t="s">
        <v>20</v>
      </c>
      <c r="B104" s="201" t="s">
        <v>132</v>
      </c>
      <c r="C104" s="201"/>
      <c r="D104" s="201"/>
      <c r="E104" s="201"/>
      <c r="F104" s="201"/>
      <c r="G104" s="201"/>
      <c r="H104" s="36">
        <v>0.06</v>
      </c>
      <c r="I104" s="19">
        <f>TRUNC(H104*I128,2)</f>
        <v>156.37</v>
      </c>
    </row>
    <row r="105" spans="1:9">
      <c r="A105" s="1" t="s">
        <v>23</v>
      </c>
      <c r="B105" s="201" t="s">
        <v>133</v>
      </c>
      <c r="C105" s="201"/>
      <c r="D105" s="201"/>
      <c r="E105" s="201"/>
      <c r="F105" s="201"/>
      <c r="G105" s="201"/>
      <c r="H105" s="37">
        <v>6.7900000000000002E-2</v>
      </c>
      <c r="I105" s="19">
        <f>TRUNC(H105*(I104+I128),2)</f>
        <v>187.57</v>
      </c>
    </row>
    <row r="106" spans="1:9">
      <c r="A106" s="1" t="s">
        <v>26</v>
      </c>
      <c r="B106" s="229" t="s">
        <v>134</v>
      </c>
      <c r="C106" s="229"/>
      <c r="D106" s="229"/>
      <c r="E106" s="229"/>
      <c r="F106" s="229"/>
      <c r="G106" s="229"/>
      <c r="H106" s="34"/>
      <c r="I106" s="29"/>
    </row>
    <row r="107" spans="1:9">
      <c r="A107" s="1" t="s">
        <v>135</v>
      </c>
      <c r="B107" s="201" t="s">
        <v>136</v>
      </c>
      <c r="C107" s="201"/>
      <c r="D107" s="201"/>
      <c r="E107" s="201"/>
      <c r="F107" s="201"/>
      <c r="G107" s="201"/>
      <c r="H107" s="38">
        <v>6.4999999999999997E-3</v>
      </c>
      <c r="I107" s="19">
        <f>H107*I117</f>
        <v>20.991619999999998</v>
      </c>
    </row>
    <row r="108" spans="1:9">
      <c r="A108" s="1" t="s">
        <v>137</v>
      </c>
      <c r="B108" s="201" t="s">
        <v>138</v>
      </c>
      <c r="C108" s="201"/>
      <c r="D108" s="201"/>
      <c r="E108" s="201"/>
      <c r="F108" s="201"/>
      <c r="G108" s="201"/>
      <c r="H108" s="39">
        <v>0.03</v>
      </c>
      <c r="I108" s="19">
        <f>H108*I117</f>
        <v>96.884399999999999</v>
      </c>
    </row>
    <row r="109" spans="1:9">
      <c r="A109" s="1" t="s">
        <v>139</v>
      </c>
      <c r="B109" s="201" t="s">
        <v>140</v>
      </c>
      <c r="C109" s="201"/>
      <c r="D109" s="201"/>
      <c r="E109" s="201"/>
      <c r="F109" s="201"/>
      <c r="G109" s="201"/>
      <c r="H109" s="40">
        <v>0.05</v>
      </c>
      <c r="I109" s="19">
        <f>H109*I117</f>
        <v>161.47400000000002</v>
      </c>
    </row>
    <row r="110" spans="1:9">
      <c r="A110" s="209" t="s">
        <v>141</v>
      </c>
      <c r="B110" s="209"/>
      <c r="C110" s="209"/>
      <c r="D110" s="209"/>
      <c r="E110" s="209"/>
      <c r="F110" s="209"/>
      <c r="G110" s="209"/>
      <c r="H110" s="38"/>
      <c r="I110" s="15">
        <f>TRUNC(SUM(I104:I109),2)</f>
        <v>623.29</v>
      </c>
    </row>
    <row r="111" spans="1:9">
      <c r="A111" s="10"/>
      <c r="B111" s="230"/>
      <c r="C111" s="230"/>
      <c r="D111" s="230"/>
      <c r="E111" s="230"/>
      <c r="F111" s="230"/>
      <c r="G111" s="230"/>
      <c r="H111" s="230"/>
      <c r="I111" s="230"/>
    </row>
    <row r="112" spans="1:9">
      <c r="A112" s="21" t="s">
        <v>142</v>
      </c>
      <c r="B112" s="231" t="s">
        <v>143</v>
      </c>
      <c r="C112" s="231"/>
      <c r="D112" s="231"/>
      <c r="E112" s="231"/>
      <c r="F112" s="231"/>
      <c r="G112" s="231"/>
      <c r="H112" s="22">
        <f>TRUNC(H107+H108+H109,4)</f>
        <v>8.6499999999999994E-2</v>
      </c>
      <c r="I112" s="30"/>
    </row>
    <row r="113" spans="1:11">
      <c r="A113" s="23"/>
      <c r="B113" s="232">
        <v>100</v>
      </c>
      <c r="C113" s="232"/>
      <c r="D113" s="232"/>
      <c r="E113" s="232"/>
      <c r="F113" s="232"/>
      <c r="G113" s="232"/>
      <c r="H113" s="25"/>
      <c r="I113" s="31"/>
    </row>
    <row r="114" spans="1:11">
      <c r="A114" s="26"/>
      <c r="B114" s="24"/>
      <c r="C114" s="24"/>
      <c r="D114" s="24"/>
      <c r="E114" s="24"/>
      <c r="F114" s="24"/>
      <c r="G114" s="24"/>
      <c r="H114" s="25"/>
      <c r="I114" s="31"/>
    </row>
    <row r="115" spans="1:11">
      <c r="A115" s="23" t="s">
        <v>144</v>
      </c>
      <c r="B115" s="232" t="s">
        <v>145</v>
      </c>
      <c r="C115" s="232"/>
      <c r="D115" s="232"/>
      <c r="E115" s="232"/>
      <c r="F115" s="232"/>
      <c r="G115" s="232"/>
      <c r="H115" s="25"/>
      <c r="I115" s="31">
        <f>TRUNC(I128+I104+I105,2)</f>
        <v>2950.13</v>
      </c>
    </row>
    <row r="116" spans="1:11">
      <c r="A116" s="23"/>
      <c r="B116" s="24"/>
      <c r="C116" s="24"/>
      <c r="D116" s="24"/>
      <c r="E116" s="24"/>
      <c r="F116" s="24"/>
      <c r="G116" s="24"/>
      <c r="H116" s="25"/>
      <c r="I116" s="31"/>
    </row>
    <row r="117" spans="1:11">
      <c r="A117" s="23" t="s">
        <v>146</v>
      </c>
      <c r="B117" s="232" t="s">
        <v>147</v>
      </c>
      <c r="C117" s="232"/>
      <c r="D117" s="232"/>
      <c r="E117" s="232"/>
      <c r="F117" s="232"/>
      <c r="G117" s="232"/>
      <c r="H117" s="25"/>
      <c r="I117" s="31">
        <f>TRUNC(I115/(1-H112),2)</f>
        <v>3229.48</v>
      </c>
    </row>
    <row r="118" spans="1:11">
      <c r="A118" s="23"/>
      <c r="B118" s="24"/>
      <c r="C118" s="24"/>
      <c r="D118" s="24"/>
      <c r="E118" s="24"/>
      <c r="F118" s="24"/>
      <c r="G118" s="24"/>
      <c r="H118" s="25"/>
      <c r="I118" s="31"/>
    </row>
    <row r="119" spans="1:11">
      <c r="A119" s="27"/>
      <c r="B119" s="233" t="s">
        <v>148</v>
      </c>
      <c r="C119" s="233"/>
      <c r="D119" s="233"/>
      <c r="E119" s="233"/>
      <c r="F119" s="233"/>
      <c r="G119" s="233"/>
      <c r="H119" s="28"/>
      <c r="I119" s="32">
        <f>TRUNC(I117-I115,2)</f>
        <v>279.35000000000002</v>
      </c>
      <c r="K119" s="41"/>
    </row>
    <row r="120" spans="1:11">
      <c r="A120" s="10"/>
      <c r="B120" s="10"/>
      <c r="C120" s="10"/>
      <c r="D120" s="10"/>
      <c r="E120" s="10"/>
      <c r="F120" s="10"/>
      <c r="G120" s="10"/>
      <c r="H120" s="10"/>
      <c r="I120" s="16"/>
    </row>
    <row r="121" spans="1:11">
      <c r="A121" s="219" t="s">
        <v>149</v>
      </c>
      <c r="B121" s="219"/>
      <c r="C121" s="219"/>
      <c r="D121" s="219"/>
      <c r="E121" s="219"/>
      <c r="F121" s="219"/>
      <c r="G121" s="219"/>
      <c r="H121" s="219"/>
      <c r="I121" s="219"/>
      <c r="K121" s="33"/>
    </row>
    <row r="122" spans="1:11">
      <c r="A122" s="209" t="s">
        <v>150</v>
      </c>
      <c r="B122" s="209"/>
      <c r="C122" s="209"/>
      <c r="D122" s="209"/>
      <c r="E122" s="209"/>
      <c r="F122" s="209"/>
      <c r="G122" s="209"/>
      <c r="H122" s="209"/>
      <c r="I122" s="1" t="s">
        <v>49</v>
      </c>
    </row>
    <row r="123" spans="1:11">
      <c r="A123" s="2" t="s">
        <v>20</v>
      </c>
      <c r="B123" s="201" t="str">
        <f>A21</f>
        <v>MÓDULO 1 - COMPOSIÇÃO DA REMUNERAÇÃO</v>
      </c>
      <c r="C123" s="201"/>
      <c r="D123" s="201"/>
      <c r="E123" s="201"/>
      <c r="F123" s="201"/>
      <c r="G123" s="201"/>
      <c r="H123" s="201"/>
      <c r="I123" s="19">
        <f>I29</f>
        <v>1260.4000000000001</v>
      </c>
    </row>
    <row r="124" spans="1:11">
      <c r="A124" s="2" t="s">
        <v>23</v>
      </c>
      <c r="B124" s="201" t="str">
        <f>A31</f>
        <v>MÓDULO 2 – ENCARGOS E BENEFÍCIOS ANUAIS, MENSAIS E DIÁRIOS</v>
      </c>
      <c r="C124" s="201"/>
      <c r="D124" s="201"/>
      <c r="E124" s="201"/>
      <c r="F124" s="201"/>
      <c r="G124" s="201"/>
      <c r="H124" s="201"/>
      <c r="I124" s="19">
        <f>I62</f>
        <v>1197.92</v>
      </c>
    </row>
    <row r="125" spans="1:11">
      <c r="A125" s="2" t="s">
        <v>26</v>
      </c>
      <c r="B125" s="201" t="str">
        <f>A64</f>
        <v>MÓDULO 3 – PROVISÃO PARA RESCISÃO</v>
      </c>
      <c r="C125" s="201"/>
      <c r="D125" s="201"/>
      <c r="E125" s="201"/>
      <c r="F125" s="201"/>
      <c r="G125" s="201"/>
      <c r="H125" s="201"/>
      <c r="I125" s="19">
        <f>I72</f>
        <v>89.21</v>
      </c>
      <c r="K125" s="33"/>
    </row>
    <row r="126" spans="1:11">
      <c r="A126" s="2" t="s">
        <v>29</v>
      </c>
      <c r="B126" s="201" t="str">
        <f>A74</f>
        <v>MÓDULO 4 – CUSTO DE REPOSIÇÃO DO PROFISSIONAL AUSENTE</v>
      </c>
      <c r="C126" s="201"/>
      <c r="D126" s="201"/>
      <c r="E126" s="201"/>
      <c r="F126" s="201"/>
      <c r="G126" s="201"/>
      <c r="H126" s="201"/>
      <c r="I126" s="19">
        <f>I92</f>
        <v>32.26</v>
      </c>
      <c r="K126" s="33"/>
    </row>
    <row r="127" spans="1:11">
      <c r="A127" s="2" t="s">
        <v>54</v>
      </c>
      <c r="B127" s="201" t="str">
        <f>A94</f>
        <v>MÓDULO 5 – INSUMOS DIVERSOS</v>
      </c>
      <c r="C127" s="201"/>
      <c r="D127" s="201"/>
      <c r="E127" s="201"/>
      <c r="F127" s="201"/>
      <c r="G127" s="201"/>
      <c r="H127" s="201"/>
      <c r="I127" s="19">
        <f>I100</f>
        <v>26.4</v>
      </c>
    </row>
    <row r="128" spans="1:11">
      <c r="A128" s="1"/>
      <c r="B128" s="209" t="s">
        <v>151</v>
      </c>
      <c r="C128" s="209"/>
      <c r="D128" s="209"/>
      <c r="E128" s="209"/>
      <c r="F128" s="209"/>
      <c r="G128" s="209"/>
      <c r="H128" s="209"/>
      <c r="I128" s="15">
        <f>TRUNC(SUM(I123:I127),2)</f>
        <v>2606.19</v>
      </c>
      <c r="K128" s="41"/>
    </row>
    <row r="129" spans="1:9">
      <c r="A129" s="2" t="s">
        <v>56</v>
      </c>
      <c r="B129" s="201" t="str">
        <f>A102</f>
        <v>MÓDULO 6 – CUSTOS INDIRETOS, TRIBUTOS E LUCRO</v>
      </c>
      <c r="C129" s="201"/>
      <c r="D129" s="201"/>
      <c r="E129" s="201"/>
      <c r="F129" s="201"/>
      <c r="G129" s="201"/>
      <c r="H129" s="201"/>
      <c r="I129" s="19">
        <f>I110</f>
        <v>623.29</v>
      </c>
    </row>
    <row r="130" spans="1:9">
      <c r="A130" s="209" t="s">
        <v>185</v>
      </c>
      <c r="B130" s="209"/>
      <c r="C130" s="209"/>
      <c r="D130" s="209"/>
      <c r="E130" s="209"/>
      <c r="F130" s="209"/>
      <c r="G130" s="209"/>
      <c r="H130" s="209"/>
      <c r="I130" s="15">
        <f>TRUNC(SUM(I128:I129),2)</f>
        <v>3229.48</v>
      </c>
    </row>
    <row r="131" spans="1:9">
      <c r="A131" s="209" t="s">
        <v>153</v>
      </c>
      <c r="B131" s="209"/>
      <c r="C131" s="209"/>
      <c r="D131" s="235">
        <v>2</v>
      </c>
      <c r="E131" s="236"/>
      <c r="F131" s="236"/>
      <c r="G131" s="236"/>
      <c r="H131" s="236"/>
      <c r="I131" s="237"/>
    </row>
    <row r="132" spans="1:9" hidden="1">
      <c r="A132" s="2"/>
      <c r="B132" s="199" t="s">
        <v>154</v>
      </c>
      <c r="C132" s="199"/>
      <c r="D132" s="199"/>
      <c r="E132" s="199"/>
      <c r="F132" s="199"/>
      <c r="G132" s="199"/>
      <c r="H132" s="1"/>
      <c r="I132" s="1"/>
    </row>
    <row r="133" spans="1:9" ht="40.5" hidden="1" customHeight="1">
      <c r="A133" s="234" t="s">
        <v>155</v>
      </c>
      <c r="B133" s="234"/>
      <c r="C133" s="234" t="s">
        <v>156</v>
      </c>
      <c r="D133" s="234"/>
      <c r="E133" s="234" t="s">
        <v>157</v>
      </c>
      <c r="F133" s="234"/>
      <c r="G133" s="43" t="s">
        <v>158</v>
      </c>
      <c r="H133" s="43" t="s">
        <v>159</v>
      </c>
      <c r="I133" s="1" t="s">
        <v>49</v>
      </c>
    </row>
    <row r="134" spans="1:9" hidden="1">
      <c r="A134" s="199" t="s">
        <v>160</v>
      </c>
      <c r="B134" s="199"/>
      <c r="C134" s="201" t="s">
        <v>161</v>
      </c>
      <c r="D134" s="201"/>
      <c r="E134" s="199"/>
      <c r="F134" s="199"/>
      <c r="G134" s="5" t="s">
        <v>161</v>
      </c>
      <c r="H134" s="5"/>
      <c r="I134" s="19">
        <v>0</v>
      </c>
    </row>
    <row r="135" spans="1:9" hidden="1">
      <c r="A135" s="199" t="s">
        <v>162</v>
      </c>
      <c r="B135" s="199"/>
      <c r="C135" s="201" t="s">
        <v>161</v>
      </c>
      <c r="D135" s="201"/>
      <c r="E135" s="199"/>
      <c r="F135" s="199"/>
      <c r="G135" s="5" t="s">
        <v>161</v>
      </c>
      <c r="H135" s="5"/>
      <c r="I135" s="19">
        <v>0</v>
      </c>
    </row>
    <row r="136" spans="1:9" hidden="1">
      <c r="A136" s="199" t="s">
        <v>163</v>
      </c>
      <c r="B136" s="199"/>
      <c r="C136" s="201" t="s">
        <v>161</v>
      </c>
      <c r="D136" s="201"/>
      <c r="E136" s="199"/>
      <c r="F136" s="199"/>
      <c r="G136" s="5" t="s">
        <v>161</v>
      </c>
      <c r="H136" s="5"/>
      <c r="I136" s="19">
        <v>0</v>
      </c>
    </row>
    <row r="137" spans="1:9" hidden="1">
      <c r="A137" s="199" t="s">
        <v>164</v>
      </c>
      <c r="B137" s="199"/>
      <c r="C137" s="201" t="s">
        <v>161</v>
      </c>
      <c r="D137" s="201"/>
      <c r="E137" s="199"/>
      <c r="F137" s="199"/>
      <c r="G137" s="5" t="s">
        <v>161</v>
      </c>
      <c r="H137" s="5"/>
      <c r="I137" s="19">
        <v>0</v>
      </c>
    </row>
    <row r="138" spans="1:9" hidden="1">
      <c r="A138" s="209"/>
      <c r="B138" s="209"/>
      <c r="C138" s="199"/>
      <c r="D138" s="199"/>
      <c r="E138" s="199"/>
      <c r="F138" s="199"/>
      <c r="G138" s="8"/>
      <c r="H138" s="8"/>
      <c r="I138" s="19"/>
    </row>
    <row r="139" spans="1:9" hidden="1">
      <c r="A139" s="209"/>
      <c r="B139" s="209"/>
      <c r="C139" s="199"/>
      <c r="D139" s="199"/>
      <c r="E139" s="199"/>
      <c r="F139" s="199"/>
      <c r="G139" s="5"/>
      <c r="H139" s="5"/>
      <c r="I139" s="19"/>
    </row>
    <row r="140" spans="1:9" hidden="1">
      <c r="A140" s="209" t="s">
        <v>165</v>
      </c>
      <c r="B140" s="209"/>
      <c r="C140" s="209"/>
      <c r="D140" s="209"/>
      <c r="E140" s="209"/>
      <c r="F140" s="209"/>
      <c r="G140" s="209"/>
      <c r="H140" s="209"/>
      <c r="I140" s="15">
        <f>SUM(I138:I139)</f>
        <v>0</v>
      </c>
    </row>
    <row r="141" spans="1:9" hidden="1">
      <c r="A141" s="5"/>
      <c r="B141" s="5"/>
      <c r="C141" s="5"/>
      <c r="D141" s="5"/>
      <c r="E141" s="5"/>
      <c r="F141" s="5"/>
      <c r="G141" s="5"/>
      <c r="H141" s="5"/>
      <c r="I141" s="5"/>
    </row>
    <row r="142" spans="1:9" hidden="1">
      <c r="A142" s="2" t="s">
        <v>166</v>
      </c>
      <c r="B142" s="199" t="s">
        <v>167</v>
      </c>
      <c r="C142" s="199"/>
      <c r="D142" s="199"/>
      <c r="E142" s="199"/>
      <c r="F142" s="199"/>
      <c r="G142" s="199"/>
      <c r="H142" s="1"/>
      <c r="I142" s="1"/>
    </row>
    <row r="143" spans="1:9" hidden="1">
      <c r="A143" s="209" t="s">
        <v>168</v>
      </c>
      <c r="B143" s="209"/>
      <c r="C143" s="209"/>
      <c r="D143" s="209"/>
      <c r="E143" s="209"/>
      <c r="F143" s="209"/>
      <c r="G143" s="209"/>
      <c r="H143" s="209"/>
      <c r="I143" s="209"/>
    </row>
    <row r="144" spans="1:9" hidden="1">
      <c r="A144" s="2"/>
      <c r="B144" s="229" t="s">
        <v>3</v>
      </c>
      <c r="C144" s="229"/>
      <c r="D144" s="229"/>
      <c r="E144" s="229"/>
      <c r="F144" s="229"/>
      <c r="G144" s="229"/>
      <c r="H144" s="229"/>
      <c r="I144" s="1" t="s">
        <v>49</v>
      </c>
    </row>
    <row r="145" spans="1:9" hidden="1">
      <c r="A145" s="2" t="s">
        <v>20</v>
      </c>
      <c r="B145" s="201" t="s">
        <v>169</v>
      </c>
      <c r="C145" s="201"/>
      <c r="D145" s="201"/>
      <c r="E145" s="201"/>
      <c r="F145" s="201"/>
      <c r="G145" s="201"/>
      <c r="H145" s="201"/>
      <c r="I145" s="19">
        <f>I107</f>
        <v>20.991619999999998</v>
      </c>
    </row>
    <row r="146" spans="1:9" hidden="1">
      <c r="A146" s="2" t="s">
        <v>23</v>
      </c>
      <c r="B146" s="201" t="s">
        <v>170</v>
      </c>
      <c r="C146" s="201"/>
      <c r="D146" s="201"/>
      <c r="E146" s="201"/>
      <c r="F146" s="201"/>
      <c r="G146" s="201"/>
      <c r="H146" s="201"/>
      <c r="I146" s="19" t="e">
        <f>#REF!</f>
        <v>#REF!</v>
      </c>
    </row>
    <row r="147" spans="1:9" hidden="1">
      <c r="A147" s="2" t="s">
        <v>26</v>
      </c>
      <c r="B147" s="201" t="s">
        <v>171</v>
      </c>
      <c r="C147" s="201"/>
      <c r="D147" s="201"/>
      <c r="E147" s="201"/>
      <c r="F147" s="201"/>
      <c r="G147" s="201"/>
      <c r="H147" s="201"/>
      <c r="I147" s="19">
        <f>I110</f>
        <v>623.29</v>
      </c>
    </row>
    <row r="148" spans="1:9" hidden="1">
      <c r="A148" s="199" t="s">
        <v>172</v>
      </c>
      <c r="B148" s="199"/>
      <c r="C148" s="199"/>
      <c r="D148" s="199"/>
      <c r="E148" s="199"/>
      <c r="F148" s="199"/>
      <c r="G148" s="199"/>
      <c r="H148" s="199"/>
      <c r="I148" s="15" t="e">
        <f>SUM(I145:I147)</f>
        <v>#REF!</v>
      </c>
    </row>
    <row r="149" spans="1:9" hidden="1">
      <c r="A149" s="2" t="s">
        <v>173</v>
      </c>
      <c r="B149" s="5" t="s">
        <v>174</v>
      </c>
      <c r="C149" s="5"/>
      <c r="D149" s="5"/>
      <c r="E149" s="5"/>
      <c r="F149" s="5"/>
      <c r="G149" s="5"/>
      <c r="H149" s="5"/>
      <c r="I149" s="5"/>
    </row>
    <row r="150" spans="1:9" hidden="1">
      <c r="A150" s="5"/>
      <c r="B150" s="5"/>
      <c r="C150" s="5"/>
      <c r="D150" s="5"/>
      <c r="E150" s="5"/>
      <c r="F150" s="5"/>
      <c r="G150" s="5"/>
      <c r="H150" s="5"/>
      <c r="I150" s="5"/>
    </row>
    <row r="151" spans="1:9" hidden="1">
      <c r="A151" s="5"/>
      <c r="B151" s="5"/>
      <c r="C151" s="5"/>
      <c r="D151" s="5"/>
      <c r="E151" s="5"/>
      <c r="F151" s="5"/>
      <c r="G151" s="5"/>
      <c r="H151" s="5"/>
      <c r="I151" s="5"/>
    </row>
    <row r="152" spans="1:9">
      <c r="A152" s="209" t="s">
        <v>175</v>
      </c>
      <c r="B152" s="209"/>
      <c r="C152" s="209"/>
      <c r="D152" s="243">
        <f>D131*I130</f>
        <v>6458.96</v>
      </c>
      <c r="E152" s="243"/>
      <c r="F152" s="243"/>
      <c r="G152" s="243"/>
      <c r="H152" s="243"/>
      <c r="I152" s="243"/>
    </row>
    <row r="153" spans="1:9">
      <c r="A153" s="11"/>
      <c r="B153" s="11"/>
      <c r="C153" s="11"/>
      <c r="D153" s="53"/>
      <c r="E153" s="53"/>
      <c r="F153" s="53"/>
      <c r="G153" s="53"/>
      <c r="H153" s="53"/>
      <c r="I153" s="53"/>
    </row>
    <row r="155" spans="1:9" ht="66" customHeight="1">
      <c r="A155" s="239" t="s">
        <v>176</v>
      </c>
      <c r="B155" s="240"/>
      <c r="C155" s="240"/>
      <c r="D155" s="240"/>
      <c r="E155" s="240"/>
      <c r="F155" s="240"/>
      <c r="G155" s="240"/>
      <c r="H155" s="240"/>
      <c r="I155" s="240"/>
    </row>
    <row r="156" spans="1:9" ht="12.75" customHeight="1">
      <c r="A156" s="46"/>
      <c r="B156" s="47"/>
      <c r="C156" s="47"/>
      <c r="D156" s="47"/>
      <c r="E156" s="47"/>
      <c r="F156" s="47"/>
      <c r="G156" s="47"/>
      <c r="H156" s="47"/>
      <c r="I156" s="47"/>
    </row>
    <row r="157" spans="1:9" ht="26.25" customHeight="1">
      <c r="A157" s="241" t="s">
        <v>177</v>
      </c>
      <c r="B157" s="242"/>
      <c r="C157" s="242"/>
      <c r="D157" s="242"/>
      <c r="E157" s="242"/>
      <c r="F157" s="242"/>
      <c r="G157" s="242"/>
      <c r="H157" s="242"/>
      <c r="I157" s="242"/>
    </row>
    <row r="159" spans="1:9" ht="28.5" customHeight="1">
      <c r="A159" s="238" t="s">
        <v>178</v>
      </c>
      <c r="B159" s="238"/>
      <c r="C159" s="238"/>
      <c r="D159" s="238"/>
      <c r="E159" s="238"/>
      <c r="F159" s="238"/>
      <c r="G159" s="238"/>
      <c r="H159" s="238"/>
    </row>
    <row r="162" spans="1:5">
      <c r="A162" s="17" t="s">
        <v>179</v>
      </c>
      <c r="B162" s="17">
        <f>I130/I123</f>
        <v>2.5622659473183114</v>
      </c>
    </row>
    <row r="163" spans="1:5">
      <c r="A163" s="33"/>
      <c r="B163" s="17"/>
      <c r="E163" s="42"/>
    </row>
    <row r="164" spans="1:5">
      <c r="A164" s="17" t="s">
        <v>180</v>
      </c>
      <c r="B164" s="17"/>
      <c r="C164" s="33">
        <f>1*'Servente com insumos'!I130</f>
        <v>4918.7700000000004</v>
      </c>
    </row>
    <row r="165" spans="1:5">
      <c r="A165" s="17" t="s">
        <v>181</v>
      </c>
      <c r="B165" s="17"/>
      <c r="C165" s="33">
        <f>2*H8*C164</f>
        <v>118050.48000000001</v>
      </c>
    </row>
    <row r="166" spans="1:5">
      <c r="A166" s="42"/>
    </row>
    <row r="167" spans="1:5">
      <c r="A167" s="42"/>
    </row>
  </sheetData>
  <mergeCells count="172">
    <mergeCell ref="A159:H159"/>
    <mergeCell ref="B147:H147"/>
    <mergeCell ref="A148:H148"/>
    <mergeCell ref="A152:C152"/>
    <mergeCell ref="D152:I152"/>
    <mergeCell ref="A155:I155"/>
    <mergeCell ref="A157:I157"/>
    <mergeCell ref="A140:H140"/>
    <mergeCell ref="B142:G142"/>
    <mergeCell ref="A143:I143"/>
    <mergeCell ref="B144:H144"/>
    <mergeCell ref="B145:H145"/>
    <mergeCell ref="B146:H146"/>
    <mergeCell ref="A138:B138"/>
    <mergeCell ref="C138:D138"/>
    <mergeCell ref="E138:F138"/>
    <mergeCell ref="A139:B139"/>
    <mergeCell ref="C139:D139"/>
    <mergeCell ref="E139:F139"/>
    <mergeCell ref="A136:B136"/>
    <mergeCell ref="C136:D136"/>
    <mergeCell ref="E136:F136"/>
    <mergeCell ref="A137:B137"/>
    <mergeCell ref="C137:D137"/>
    <mergeCell ref="E137:F137"/>
    <mergeCell ref="A134:B134"/>
    <mergeCell ref="C134:D134"/>
    <mergeCell ref="E134:F134"/>
    <mergeCell ref="A135:B135"/>
    <mergeCell ref="C135:D135"/>
    <mergeCell ref="E135:F135"/>
    <mergeCell ref="A131:C131"/>
    <mergeCell ref="D131:I131"/>
    <mergeCell ref="B132:G132"/>
    <mergeCell ref="A133:B133"/>
    <mergeCell ref="C133:D133"/>
    <mergeCell ref="E133:F133"/>
    <mergeCell ref="B125:H125"/>
    <mergeCell ref="B126:H126"/>
    <mergeCell ref="B127:H127"/>
    <mergeCell ref="B128:H128"/>
    <mergeCell ref="B129:H129"/>
    <mergeCell ref="A130:H130"/>
    <mergeCell ref="B117:G117"/>
    <mergeCell ref="B119:G119"/>
    <mergeCell ref="A121:I121"/>
    <mergeCell ref="A122:H122"/>
    <mergeCell ref="B123:H123"/>
    <mergeCell ref="B124:H124"/>
    <mergeCell ref="B109:G109"/>
    <mergeCell ref="A110:G110"/>
    <mergeCell ref="B111:I111"/>
    <mergeCell ref="B112:G112"/>
    <mergeCell ref="B113:G113"/>
    <mergeCell ref="B115:G115"/>
    <mergeCell ref="B103:G103"/>
    <mergeCell ref="B104:G104"/>
    <mergeCell ref="B105:G105"/>
    <mergeCell ref="B106:G106"/>
    <mergeCell ref="B107:G107"/>
    <mergeCell ref="B108:G108"/>
    <mergeCell ref="B97:G97"/>
    <mergeCell ref="B98:G98"/>
    <mergeCell ref="B99:G99"/>
    <mergeCell ref="A100:G100"/>
    <mergeCell ref="A101:I101"/>
    <mergeCell ref="A102:I102"/>
    <mergeCell ref="B91:H91"/>
    <mergeCell ref="A92:H92"/>
    <mergeCell ref="A93:I93"/>
    <mergeCell ref="A94:I94"/>
    <mergeCell ref="B95:G95"/>
    <mergeCell ref="B96:G96"/>
    <mergeCell ref="B85:G85"/>
    <mergeCell ref="A86:G86"/>
    <mergeCell ref="A87:I87"/>
    <mergeCell ref="A88:I88"/>
    <mergeCell ref="A89:H89"/>
    <mergeCell ref="B90:H90"/>
    <mergeCell ref="B79:G79"/>
    <mergeCell ref="B80:G80"/>
    <mergeCell ref="B81:G81"/>
    <mergeCell ref="A82:G82"/>
    <mergeCell ref="A83:I83"/>
    <mergeCell ref="A84:G84"/>
    <mergeCell ref="A73:I73"/>
    <mergeCell ref="A74:I74"/>
    <mergeCell ref="A75:G75"/>
    <mergeCell ref="B76:G76"/>
    <mergeCell ref="B77:G77"/>
    <mergeCell ref="B78:G78"/>
    <mergeCell ref="B67:G67"/>
    <mergeCell ref="B68:G68"/>
    <mergeCell ref="B69:G69"/>
    <mergeCell ref="B70:G70"/>
    <mergeCell ref="B71:G71"/>
    <mergeCell ref="A72:G72"/>
    <mergeCell ref="B61:H61"/>
    <mergeCell ref="A62:H62"/>
    <mergeCell ref="A63:I63"/>
    <mergeCell ref="A64:I64"/>
    <mergeCell ref="B65:G65"/>
    <mergeCell ref="B66:G66"/>
    <mergeCell ref="A55:H55"/>
    <mergeCell ref="A56:I56"/>
    <mergeCell ref="A57:I57"/>
    <mergeCell ref="A58:H58"/>
    <mergeCell ref="B59:H59"/>
    <mergeCell ref="B60:H60"/>
    <mergeCell ref="B49:G49"/>
    <mergeCell ref="B50:G50"/>
    <mergeCell ref="B51:G51"/>
    <mergeCell ref="B52:G52"/>
    <mergeCell ref="B53:G53"/>
    <mergeCell ref="B54:G54"/>
    <mergeCell ref="B43:G43"/>
    <mergeCell ref="B44:G44"/>
    <mergeCell ref="B45:G45"/>
    <mergeCell ref="A46:G46"/>
    <mergeCell ref="A47:I47"/>
    <mergeCell ref="A48:G48"/>
    <mergeCell ref="A37:G37"/>
    <mergeCell ref="B38:G38"/>
    <mergeCell ref="B39:G39"/>
    <mergeCell ref="B40:G40"/>
    <mergeCell ref="B41:G41"/>
    <mergeCell ref="B42:G42"/>
    <mergeCell ref="A31:I31"/>
    <mergeCell ref="A32:G32"/>
    <mergeCell ref="B33:G33"/>
    <mergeCell ref="B34:G34"/>
    <mergeCell ref="A35:G35"/>
    <mergeCell ref="A36:I36"/>
    <mergeCell ref="B24:G24"/>
    <mergeCell ref="B25:G25"/>
    <mergeCell ref="B26:G26"/>
    <mergeCell ref="B27:G27"/>
    <mergeCell ref="B28:G28"/>
    <mergeCell ref="A29:H29"/>
    <mergeCell ref="B19:G19"/>
    <mergeCell ref="H19:I19"/>
    <mergeCell ref="A20:I20"/>
    <mergeCell ref="A21:I21"/>
    <mergeCell ref="B22:G22"/>
    <mergeCell ref="B23:G23"/>
    <mergeCell ref="B16:G16"/>
    <mergeCell ref="H16:I16"/>
    <mergeCell ref="B17:G17"/>
    <mergeCell ref="H17:I17"/>
    <mergeCell ref="B18:G18"/>
    <mergeCell ref="H18:I18"/>
    <mergeCell ref="A12:B12"/>
    <mergeCell ref="C12:D12"/>
    <mergeCell ref="E12:I12"/>
    <mergeCell ref="A14:I14"/>
    <mergeCell ref="B15:G15"/>
    <mergeCell ref="H15:I15"/>
    <mergeCell ref="B7:G7"/>
    <mergeCell ref="H7:I7"/>
    <mergeCell ref="B8:G8"/>
    <mergeCell ref="H8:I8"/>
    <mergeCell ref="A10:I10"/>
    <mergeCell ref="A11:B11"/>
    <mergeCell ref="C11:D11"/>
    <mergeCell ref="E11:I11"/>
    <mergeCell ref="A1:I1"/>
    <mergeCell ref="A2:I2"/>
    <mergeCell ref="A4:I4"/>
    <mergeCell ref="B5:G5"/>
    <mergeCell ref="H5:I5"/>
    <mergeCell ref="B6:G6"/>
    <mergeCell ref="H6:I6"/>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EBC9-1AE3-4DE0-8071-2E205FA17CD4}">
  <sheetPr>
    <pageSetUpPr fitToPage="1"/>
  </sheetPr>
  <dimension ref="A1:AL135"/>
  <sheetViews>
    <sheetView tabSelected="1" topLeftCell="A112" workbookViewId="0">
      <selection activeCell="A119" sqref="A119"/>
    </sheetView>
  </sheetViews>
  <sheetFormatPr defaultColWidth="9.140625" defaultRowHeight="12.75"/>
  <cols>
    <col min="1" max="1" width="4.85546875" style="110" customWidth="1"/>
    <col min="2" max="2" width="6.5703125" style="138" customWidth="1"/>
    <col min="3" max="3" width="38.85546875" style="138" customWidth="1"/>
    <col min="4" max="4" width="10.5703125" style="138" customWidth="1"/>
    <col min="5" max="5" width="9.7109375" style="138" customWidth="1"/>
    <col min="6" max="6" width="9.85546875" style="139" customWidth="1"/>
    <col min="7" max="7" width="10.7109375" style="138" customWidth="1"/>
    <col min="8" max="8" width="8.42578125" style="138" customWidth="1"/>
    <col min="9" max="9" width="7.5703125" style="138" customWidth="1"/>
    <col min="10" max="10" width="6.28515625" style="138" customWidth="1"/>
    <col min="11" max="11" width="10.42578125" style="138" customWidth="1"/>
    <col min="12" max="12" width="12" style="106" customWidth="1"/>
    <col min="13" max="13" width="8.42578125" style="106" customWidth="1"/>
    <col min="14" max="14" width="7.5703125" style="106" customWidth="1"/>
    <col min="15" max="15" width="7.7109375" style="106" customWidth="1"/>
    <col min="16" max="16" width="12" style="106" customWidth="1"/>
    <col min="17" max="17" width="2.140625" style="106" customWidth="1"/>
    <col min="18" max="18" width="25" style="106" customWidth="1"/>
    <col min="19" max="19" width="13.7109375" style="108" customWidth="1"/>
    <col min="20" max="20" width="9.140625" style="179"/>
    <col min="21" max="16384" width="9.140625" style="110"/>
  </cols>
  <sheetData>
    <row r="1" spans="1:38" ht="15.75">
      <c r="A1" s="252" t="s">
        <v>186</v>
      </c>
      <c r="B1" s="252"/>
      <c r="C1" s="252"/>
      <c r="D1" s="252"/>
      <c r="E1" s="253" t="str">
        <f>A18</f>
        <v>Planilha de custos anuais com insumos</v>
      </c>
      <c r="F1" s="253"/>
      <c r="G1" s="253"/>
      <c r="H1" s="253"/>
      <c r="I1" s="253"/>
      <c r="J1" s="253"/>
      <c r="K1" s="253"/>
      <c r="L1" s="253"/>
      <c r="M1" s="253"/>
      <c r="N1" s="253"/>
      <c r="O1" s="253"/>
      <c r="P1" s="253"/>
      <c r="R1" s="107"/>
      <c r="T1" s="109" t="s">
        <v>187</v>
      </c>
      <c r="U1" s="254" t="s">
        <v>188</v>
      </c>
      <c r="V1" s="254"/>
      <c r="W1" s="254"/>
    </row>
    <row r="2" spans="1:38" ht="15.75">
      <c r="A2" s="252"/>
      <c r="B2" s="252"/>
      <c r="C2" s="252"/>
      <c r="D2" s="252"/>
      <c r="E2" s="111"/>
      <c r="F2" s="112"/>
      <c r="G2" s="112"/>
      <c r="H2" s="111"/>
      <c r="I2" s="111"/>
      <c r="J2" s="111"/>
      <c r="K2" s="112"/>
      <c r="L2" s="112"/>
      <c r="R2" s="107"/>
      <c r="T2" s="255" t="s">
        <v>189</v>
      </c>
      <c r="U2" s="255"/>
      <c r="V2" s="255"/>
      <c r="W2" s="255"/>
    </row>
    <row r="3" spans="1:38" s="114" customFormat="1" ht="12" customHeight="1">
      <c r="C3" s="115"/>
      <c r="D3" s="115"/>
      <c r="E3" s="115"/>
      <c r="F3" s="116"/>
      <c r="G3" s="115"/>
      <c r="H3" s="115"/>
      <c r="I3" s="115"/>
      <c r="J3" s="115"/>
      <c r="K3" s="115"/>
      <c r="M3" s="115"/>
      <c r="N3" s="115"/>
      <c r="O3" s="115"/>
      <c r="S3" s="117"/>
      <c r="T3" s="255"/>
      <c r="U3" s="255"/>
      <c r="V3" s="255"/>
      <c r="W3" s="255"/>
      <c r="AB3" s="115"/>
      <c r="AC3" s="115"/>
      <c r="AD3" s="115"/>
      <c r="AE3" s="115"/>
      <c r="AF3" s="115"/>
      <c r="AG3" s="115"/>
      <c r="AH3" s="115"/>
      <c r="AI3" s="115"/>
      <c r="AJ3" s="256"/>
      <c r="AK3" s="244"/>
      <c r="AL3" s="244"/>
    </row>
    <row r="4" spans="1:38" s="114" customFormat="1" ht="12" customHeight="1">
      <c r="A4" s="245"/>
      <c r="B4" s="245"/>
      <c r="C4" s="245"/>
      <c r="D4" s="245"/>
      <c r="E4" s="245"/>
      <c r="F4" s="245"/>
      <c r="G4" s="245"/>
      <c r="H4" s="245"/>
      <c r="I4" s="245"/>
      <c r="J4" s="245"/>
      <c r="K4" s="245"/>
      <c r="L4" s="245"/>
      <c r="M4" s="245"/>
      <c r="N4" s="245"/>
      <c r="O4" s="245"/>
      <c r="P4" s="246"/>
      <c r="Q4" s="118" t="s">
        <v>190</v>
      </c>
      <c r="R4" s="119"/>
      <c r="S4" s="117"/>
      <c r="T4" s="113"/>
      <c r="U4" s="113"/>
      <c r="V4" s="113"/>
      <c r="W4" s="113"/>
      <c r="AB4" s="115"/>
      <c r="AC4" s="115"/>
      <c r="AD4" s="115"/>
      <c r="AE4" s="115"/>
      <c r="AF4" s="115"/>
      <c r="AG4" s="115"/>
      <c r="AH4" s="115"/>
      <c r="AI4" s="115"/>
      <c r="AJ4" s="256"/>
      <c r="AK4" s="244"/>
      <c r="AL4" s="244"/>
    </row>
    <row r="5" spans="1:38" s="114" customFormat="1" ht="12" customHeight="1">
      <c r="C5" s="115"/>
      <c r="D5" s="115"/>
      <c r="E5" s="115"/>
      <c r="F5" s="116"/>
      <c r="G5" s="115"/>
      <c r="H5" s="115"/>
      <c r="I5" s="115"/>
      <c r="J5" s="115"/>
      <c r="K5" s="115"/>
      <c r="M5" s="115"/>
      <c r="N5" s="115"/>
      <c r="O5" s="115"/>
      <c r="Q5" s="120"/>
      <c r="R5" s="121" t="s">
        <v>191</v>
      </c>
      <c r="S5" s="117"/>
      <c r="T5" s="113"/>
      <c r="U5" s="113"/>
      <c r="V5" s="113"/>
      <c r="W5" s="113"/>
      <c r="AB5" s="115"/>
      <c r="AC5" s="115"/>
      <c r="AD5" s="115"/>
      <c r="AE5" s="115"/>
      <c r="AF5" s="115"/>
      <c r="AG5" s="115"/>
      <c r="AH5" s="115"/>
      <c r="AI5" s="115"/>
      <c r="AJ5" s="256"/>
      <c r="AK5" s="244"/>
      <c r="AL5" s="244"/>
    </row>
    <row r="6" spans="1:38" s="114" customFormat="1" ht="12">
      <c r="B6" s="115"/>
      <c r="C6" s="115"/>
      <c r="D6" s="115"/>
      <c r="E6" s="115"/>
      <c r="F6" s="116"/>
      <c r="G6" s="247" t="str">
        <f>L14</f>
        <v>Custo anual por tipo de posto (R$)</v>
      </c>
      <c r="H6" s="248"/>
      <c r="I6" s="248"/>
      <c r="J6" s="248"/>
      <c r="K6" s="248"/>
      <c r="L6" s="249" t="s">
        <v>192</v>
      </c>
      <c r="M6" s="250"/>
      <c r="N6" s="250"/>
      <c r="O6" s="251"/>
      <c r="Q6" s="122"/>
      <c r="R6" s="123" t="s">
        <v>193</v>
      </c>
      <c r="S6" s="117"/>
      <c r="AB6" s="115"/>
      <c r="AC6" s="115"/>
      <c r="AD6" s="115"/>
      <c r="AE6" s="115"/>
      <c r="AF6" s="115"/>
      <c r="AG6" s="115"/>
      <c r="AH6" s="115"/>
      <c r="AI6" s="115"/>
      <c r="AJ6" s="256"/>
      <c r="AK6" s="244"/>
      <c r="AL6" s="244"/>
    </row>
    <row r="7" spans="1:38" s="114" customFormat="1" ht="36">
      <c r="C7" s="115"/>
      <c r="D7" s="115"/>
      <c r="E7" s="115"/>
      <c r="F7" s="116"/>
      <c r="G7" s="124" t="str">
        <f>L15</f>
        <v>Serv. limpeza</v>
      </c>
      <c r="H7" s="124" t="str">
        <f>M15</f>
        <v>Serv. limpeza insalub.</v>
      </c>
      <c r="I7" s="124" t="str">
        <f>N15</f>
        <v>Encarregado</v>
      </c>
      <c r="J7" s="124" t="str">
        <f>O15</f>
        <v>Supervisor</v>
      </c>
      <c r="K7" s="125" t="str">
        <f>P15</f>
        <v>Total</v>
      </c>
      <c r="L7" s="124" t="str">
        <f>G23</f>
        <v>Serv. limpeza</v>
      </c>
      <c r="M7" s="124" t="str">
        <f t="shared" ref="M7:O7" si="0">H23</f>
        <v>Serv. limpeza insalub.</v>
      </c>
      <c r="N7" s="124" t="str">
        <f t="shared" si="0"/>
        <v>Encarregado</v>
      </c>
      <c r="O7" s="124" t="str">
        <f t="shared" si="0"/>
        <v>Supervisor</v>
      </c>
    </row>
    <row r="8" spans="1:38" s="114" customFormat="1" ht="12">
      <c r="C8" s="115"/>
      <c r="D8" s="257" t="s">
        <v>194</v>
      </c>
      <c r="E8" s="257"/>
      <c r="F8" s="257"/>
      <c r="G8" s="126">
        <f>IF($S$9=0,0,SUMIF($S$24:$S$135,$D8,L$24:P$135))</f>
        <v>3168.6599999999994</v>
      </c>
      <c r="H8" s="127">
        <f>IF($S$10=0,0,SUMIF($S$24:$S$135,$D8,M$24:U$135))</f>
        <v>576.12</v>
      </c>
      <c r="I8" s="127">
        <f>IF($S$11=0,0,SUMIF($S$24:$S$135,$D8,N$24:U$135))</f>
        <v>360.90000000000003</v>
      </c>
      <c r="J8" s="127">
        <f>IF($S$12=0,0,SUMIF($S$24:$S$135,$D8,O$24:U$135))</f>
        <v>0</v>
      </c>
      <c r="K8" s="128">
        <f>SUMIF($S$24:$S$135,$D8,P$24:V$135)</f>
        <v>4105.6799999999994</v>
      </c>
      <c r="L8" s="127">
        <f>G8/S9/12</f>
        <v>24.004999999999995</v>
      </c>
      <c r="M8" s="127">
        <f>H8/S10/12</f>
        <v>24.004999999999999</v>
      </c>
      <c r="N8" s="127">
        <f>I8/S11/12</f>
        <v>30.075000000000003</v>
      </c>
      <c r="O8" s="127">
        <f>IF(ISERR(ROUND((J8/12)/$S$12,2)),0,ROUND((J8/12)/$S$12,2))</f>
        <v>0</v>
      </c>
      <c r="R8" s="129" t="s">
        <v>195</v>
      </c>
      <c r="S8" s="130" t="s">
        <v>196</v>
      </c>
    </row>
    <row r="9" spans="1:38" s="114" customFormat="1" ht="12">
      <c r="C9" s="115"/>
      <c r="D9" s="257" t="s">
        <v>197</v>
      </c>
      <c r="E9" s="257"/>
      <c r="F9" s="257"/>
      <c r="G9" s="126">
        <f>IF($S$9=0,0,SUMIF($S$24:$S$135,$D9,L$24:P$135))</f>
        <v>150410.03999999995</v>
      </c>
      <c r="H9" s="127">
        <f>IF($S$10=0,0,SUMIF($S$24:$S$135,$D9,M$24:U$135))</f>
        <v>180.76</v>
      </c>
      <c r="I9" s="127">
        <f>IF($S$11=0,0,SUMIF($S$24:$S$135,$D9,N$24:U$135))</f>
        <v>90.38</v>
      </c>
      <c r="J9" s="127">
        <f>IF($S$12=0,0,SUMIF($S$24:$S$135,$D9,O$24:U$135))</f>
        <v>0</v>
      </c>
      <c r="K9" s="128">
        <f>SUMIF($S$24:$S$135,$D9,P$24:V$135)</f>
        <v>150681.17999999996</v>
      </c>
      <c r="L9" s="127">
        <f>G9/S9/12</f>
        <v>1139.4699999999996</v>
      </c>
      <c r="M9" s="127">
        <f>H9/S10/12</f>
        <v>7.5316666666666663</v>
      </c>
      <c r="N9" s="127">
        <f>I9/S11/12</f>
        <v>7.5316666666666663</v>
      </c>
      <c r="O9" s="127">
        <f>IF(ISERR(ROUND((J9/12)/$S$12,2)),0,ROUND((J9/12)/$S$12,2))</f>
        <v>0</v>
      </c>
      <c r="R9" s="131" t="s">
        <v>44</v>
      </c>
      <c r="S9" s="132">
        <v>11</v>
      </c>
    </row>
    <row r="10" spans="1:38" s="114" customFormat="1" ht="12">
      <c r="C10" s="115"/>
      <c r="D10" s="257" t="s">
        <v>198</v>
      </c>
      <c r="E10" s="257"/>
      <c r="F10" s="257"/>
      <c r="G10" s="126">
        <f>L131</f>
        <v>39.705066666666667</v>
      </c>
      <c r="H10" s="127">
        <f>IF($S$10=0,0,SUMIF($S$24:$S$135,$D10,M$24:U$135))</f>
        <v>0</v>
      </c>
      <c r="I10" s="127">
        <f>IF($S$11=0,0,SUMIF($S$24:$S$135,$D10,N$24:U$135))</f>
        <v>0</v>
      </c>
      <c r="J10" s="127">
        <f>IF($S$12=0,0,SUMIF($S$24:$S$135,$D10,O$24:U$135))</f>
        <v>0</v>
      </c>
      <c r="K10" s="128">
        <f>SUM(G10:J10)</f>
        <v>39.705066666666667</v>
      </c>
      <c r="L10" s="127">
        <f>K10/S9</f>
        <v>3.6095515151515154</v>
      </c>
      <c r="M10" s="127">
        <f>IF(ISERR(ROUND((H10/12)/$S$10,2)),0,ROUND((H10/12)/$S$10,2))</f>
        <v>0</v>
      </c>
      <c r="N10" s="127">
        <f>IF(ISERR(ROUND((I10/12)/$S$11,2)),0,ROUND((I10/12)/$S$11,2))</f>
        <v>0</v>
      </c>
      <c r="O10" s="127">
        <f>IF(ISERR(ROUND((J10/12)/$S$12,2)),0,ROUND((J10/12)/$S$12,2))</f>
        <v>0</v>
      </c>
      <c r="R10" s="131" t="s">
        <v>199</v>
      </c>
      <c r="S10" s="132">
        <v>2</v>
      </c>
    </row>
    <row r="11" spans="1:38" s="114" customFormat="1" ht="12">
      <c r="C11" s="115"/>
      <c r="D11" s="258"/>
      <c r="E11" s="258"/>
      <c r="F11" s="258"/>
      <c r="G11" s="126"/>
      <c r="H11" s="127"/>
      <c r="I11" s="127"/>
      <c r="J11" s="127"/>
      <c r="K11" s="133"/>
      <c r="L11" s="127"/>
      <c r="M11" s="127"/>
      <c r="N11" s="127"/>
      <c r="O11" s="127"/>
      <c r="R11" s="131" t="s">
        <v>200</v>
      </c>
      <c r="S11" s="132">
        <v>1</v>
      </c>
    </row>
    <row r="12" spans="1:38" s="114" customFormat="1" ht="12">
      <c r="A12" s="134"/>
      <c r="C12" s="115"/>
      <c r="D12" s="257" t="s">
        <v>201</v>
      </c>
      <c r="E12" s="257"/>
      <c r="F12" s="257"/>
      <c r="G12" s="135">
        <f t="shared" ref="G12:O12" si="1">SUM(G8:G11)</f>
        <v>153618.40506666663</v>
      </c>
      <c r="H12" s="127">
        <f t="shared" si="1"/>
        <v>756.88</v>
      </c>
      <c r="I12" s="127">
        <f t="shared" si="1"/>
        <v>451.28000000000003</v>
      </c>
      <c r="J12" s="127">
        <f t="shared" si="1"/>
        <v>0</v>
      </c>
      <c r="K12" s="135">
        <f t="shared" si="1"/>
        <v>154826.56506666663</v>
      </c>
      <c r="L12" s="135">
        <f t="shared" si="1"/>
        <v>1167.0845515151509</v>
      </c>
      <c r="M12" s="127">
        <f t="shared" si="1"/>
        <v>31.536666666666665</v>
      </c>
      <c r="N12" s="127">
        <f t="shared" si="1"/>
        <v>37.606666666666669</v>
      </c>
      <c r="O12" s="127">
        <f t="shared" si="1"/>
        <v>0</v>
      </c>
      <c r="P12" s="136"/>
      <c r="Q12" s="136"/>
      <c r="R12" s="131" t="s">
        <v>202</v>
      </c>
      <c r="S12" s="132">
        <v>0</v>
      </c>
    </row>
    <row r="13" spans="1:38" s="114" customFormat="1" ht="12">
      <c r="C13" s="137"/>
      <c r="D13" s="137"/>
      <c r="E13" s="137"/>
      <c r="F13" s="137"/>
      <c r="G13" s="115"/>
      <c r="H13" s="115"/>
      <c r="I13" s="115"/>
      <c r="J13" s="115"/>
      <c r="K13" s="115"/>
      <c r="L13" s="136"/>
      <c r="M13" s="136"/>
      <c r="N13" s="136"/>
      <c r="O13" s="136"/>
      <c r="P13" s="136"/>
      <c r="Q13" s="136"/>
      <c r="R13" s="136"/>
      <c r="S13" s="117"/>
    </row>
    <row r="14" spans="1:38">
      <c r="G14" s="266" t="s">
        <v>203</v>
      </c>
      <c r="H14" s="267"/>
      <c r="I14" s="267"/>
      <c r="J14" s="267"/>
      <c r="K14" s="268"/>
      <c r="L14" s="262" t="s">
        <v>204</v>
      </c>
      <c r="M14" s="263"/>
      <c r="N14" s="263"/>
      <c r="O14" s="263"/>
      <c r="P14" s="264"/>
      <c r="Q14" s="140"/>
      <c r="R14" s="136"/>
      <c r="T14" s="110"/>
    </row>
    <row r="15" spans="1:38" s="115" customFormat="1" ht="36">
      <c r="A15" s="141" t="s">
        <v>2</v>
      </c>
      <c r="B15" s="142" t="s">
        <v>205</v>
      </c>
      <c r="C15" s="142" t="s">
        <v>206</v>
      </c>
      <c r="D15" s="142" t="s">
        <v>207</v>
      </c>
      <c r="E15" s="142" t="s">
        <v>208</v>
      </c>
      <c r="F15" s="143" t="s">
        <v>209</v>
      </c>
      <c r="G15" s="142" t="s">
        <v>210</v>
      </c>
      <c r="H15" s="142" t="s">
        <v>211</v>
      </c>
      <c r="I15" s="142" t="s">
        <v>200</v>
      </c>
      <c r="J15" s="142" t="s">
        <v>202</v>
      </c>
      <c r="K15" s="142" t="s">
        <v>201</v>
      </c>
      <c r="L15" s="143" t="s">
        <v>210</v>
      </c>
      <c r="M15" s="143" t="s">
        <v>211</v>
      </c>
      <c r="N15" s="143" t="s">
        <v>200</v>
      </c>
      <c r="O15" s="143" t="s">
        <v>202</v>
      </c>
      <c r="P15" s="143" t="s">
        <v>201</v>
      </c>
      <c r="Q15" s="144"/>
      <c r="R15" s="136"/>
      <c r="S15" s="145" t="s">
        <v>212</v>
      </c>
    </row>
    <row r="16" spans="1:38">
      <c r="R16" s="136"/>
      <c r="T16" s="110"/>
    </row>
    <row r="17" spans="1:37">
      <c r="A17" s="265" t="s">
        <v>520</v>
      </c>
      <c r="B17" s="265"/>
      <c r="C17" s="265"/>
      <c r="D17" s="265"/>
      <c r="E17" s="265"/>
      <c r="F17" s="265"/>
      <c r="G17" s="265"/>
      <c r="H17" s="265"/>
      <c r="I17" s="265"/>
      <c r="J17" s="265"/>
      <c r="K17" s="265"/>
      <c r="L17" s="265"/>
      <c r="M17" s="265"/>
      <c r="N17" s="265"/>
      <c r="O17" s="265"/>
      <c r="P17" s="265"/>
      <c r="Q17" s="146"/>
      <c r="R17" s="136"/>
      <c r="S17" s="110"/>
      <c r="T17" s="110"/>
    </row>
    <row r="18" spans="1:37">
      <c r="A18" s="265" t="s">
        <v>213</v>
      </c>
      <c r="B18" s="265"/>
      <c r="C18" s="265"/>
      <c r="D18" s="265"/>
      <c r="E18" s="265"/>
      <c r="F18" s="265"/>
      <c r="G18" s="265"/>
      <c r="H18" s="265"/>
      <c r="I18" s="265"/>
      <c r="J18" s="265"/>
      <c r="K18" s="265"/>
      <c r="L18" s="265"/>
      <c r="M18" s="265"/>
      <c r="N18" s="265"/>
      <c r="O18" s="265"/>
      <c r="P18" s="265"/>
      <c r="Q18" s="146"/>
      <c r="R18" s="136"/>
      <c r="S18" s="110"/>
      <c r="T18" s="110"/>
    </row>
    <row r="19" spans="1:37">
      <c r="A19" s="146"/>
      <c r="B19" s="146"/>
      <c r="C19" s="146"/>
      <c r="D19" s="146"/>
      <c r="E19" s="147"/>
      <c r="F19" s="146"/>
      <c r="G19" s="146"/>
      <c r="H19" s="146"/>
      <c r="I19" s="146"/>
      <c r="J19" s="146"/>
      <c r="K19" s="146"/>
      <c r="L19" s="146"/>
      <c r="M19" s="146"/>
      <c r="N19" s="146"/>
      <c r="O19" s="146"/>
      <c r="P19" s="146"/>
      <c r="Q19" s="146"/>
      <c r="R19" s="136"/>
      <c r="S19" s="146"/>
      <c r="T19" s="110"/>
    </row>
    <row r="20" spans="1:37">
      <c r="A20" s="148" t="str">
        <f>D8</f>
        <v>Uniformes (kit básico)</v>
      </c>
      <c r="R20" s="136"/>
      <c r="T20" s="110"/>
    </row>
    <row r="21" spans="1:37">
      <c r="R21" s="136"/>
      <c r="T21" s="110"/>
    </row>
    <row r="22" spans="1:37">
      <c r="G22" s="266" t="str">
        <f>G14</f>
        <v>Qtde. anual por tipo de posto</v>
      </c>
      <c r="H22" s="267"/>
      <c r="I22" s="267"/>
      <c r="J22" s="267"/>
      <c r="K22" s="268"/>
      <c r="L22" s="262" t="str">
        <f>L14</f>
        <v>Custo anual por tipo de posto (R$)</v>
      </c>
      <c r="M22" s="263"/>
      <c r="N22" s="263"/>
      <c r="O22" s="263"/>
      <c r="P22" s="264"/>
      <c r="Q22" s="140"/>
      <c r="R22" s="136"/>
      <c r="T22" s="110"/>
    </row>
    <row r="23" spans="1:37" ht="38.25">
      <c r="A23" s="149" t="s">
        <v>2</v>
      </c>
      <c r="B23" s="149" t="s">
        <v>205</v>
      </c>
      <c r="C23" s="150" t="s">
        <v>206</v>
      </c>
      <c r="D23" s="151" t="s">
        <v>207</v>
      </c>
      <c r="E23" s="149" t="s">
        <v>208</v>
      </c>
      <c r="F23" s="151" t="s">
        <v>209</v>
      </c>
      <c r="G23" s="149" t="s">
        <v>210</v>
      </c>
      <c r="H23" s="149" t="s">
        <v>211</v>
      </c>
      <c r="I23" s="149" t="s">
        <v>200</v>
      </c>
      <c r="J23" s="149" t="s">
        <v>202</v>
      </c>
      <c r="K23" s="149" t="s">
        <v>201</v>
      </c>
      <c r="L23" s="152" t="str">
        <f>$G$23</f>
        <v>Serv. limpeza</v>
      </c>
      <c r="M23" s="152" t="str">
        <f>$H$23</f>
        <v>Serv. limpeza insalub.</v>
      </c>
      <c r="N23" s="152" t="str">
        <f>$I$23</f>
        <v>Encarregado</v>
      </c>
      <c r="O23" s="152" t="str">
        <f>$J$23</f>
        <v>Supervisor</v>
      </c>
      <c r="P23" s="152" t="str">
        <f>$K$23</f>
        <v>Total</v>
      </c>
      <c r="Q23" s="153"/>
      <c r="R23" s="136"/>
      <c r="S23" s="154" t="str">
        <f>S$15</f>
        <v>Grupo de insumos</v>
      </c>
      <c r="T23" s="110"/>
      <c r="AB23" s="138"/>
      <c r="AC23" s="138"/>
      <c r="AD23" s="138"/>
      <c r="AE23" s="138"/>
      <c r="AF23" s="138"/>
      <c r="AG23" s="138"/>
      <c r="AH23" s="138"/>
      <c r="AI23" s="138"/>
      <c r="AJ23" s="138"/>
      <c r="AK23" s="138"/>
    </row>
    <row r="24" spans="1:37" ht="51">
      <c r="A24" s="155">
        <v>1</v>
      </c>
      <c r="B24" s="156" t="s">
        <v>214</v>
      </c>
      <c r="C24" s="157" t="s">
        <v>215</v>
      </c>
      <c r="D24" s="158" t="s">
        <v>22</v>
      </c>
      <c r="E24" s="156" t="s">
        <v>216</v>
      </c>
      <c r="F24" s="159">
        <f>'Pesquisa de preços'!F24</f>
        <v>53.26</v>
      </c>
      <c r="G24" s="156">
        <v>33</v>
      </c>
      <c r="H24" s="156">
        <v>6</v>
      </c>
      <c r="I24" s="156">
        <v>0</v>
      </c>
      <c r="J24" s="156">
        <v>0</v>
      </c>
      <c r="K24" s="156">
        <f>SUM(G24:J24)</f>
        <v>39</v>
      </c>
      <c r="L24" s="160">
        <f>$F24*G24</f>
        <v>1757.58</v>
      </c>
      <c r="M24" s="160">
        <f t="shared" ref="M24:O28" si="2">$F24*H24</f>
        <v>319.56</v>
      </c>
      <c r="N24" s="160">
        <f t="shared" si="2"/>
        <v>0</v>
      </c>
      <c r="O24" s="160">
        <f t="shared" si="2"/>
        <v>0</v>
      </c>
      <c r="P24" s="160">
        <f>SUM(L24:O24)</f>
        <v>2077.14</v>
      </c>
      <c r="Q24" s="161"/>
      <c r="R24" s="136"/>
      <c r="S24" s="108" t="str">
        <f>$D$8</f>
        <v>Uniformes (kit básico)</v>
      </c>
      <c r="T24" s="162" t="str">
        <f>S24</f>
        <v>Uniformes (kit básico)</v>
      </c>
    </row>
    <row r="25" spans="1:37" ht="51">
      <c r="A25" s="155">
        <v>2</v>
      </c>
      <c r="B25" s="156" t="s">
        <v>214</v>
      </c>
      <c r="C25" s="157" t="s">
        <v>217</v>
      </c>
      <c r="D25" s="158" t="s">
        <v>22</v>
      </c>
      <c r="E25" s="156" t="s">
        <v>216</v>
      </c>
      <c r="F25" s="159">
        <f>'Pesquisa de preços'!F25</f>
        <v>77.540000000000006</v>
      </c>
      <c r="G25" s="156">
        <v>0</v>
      </c>
      <c r="H25" s="156">
        <v>0</v>
      </c>
      <c r="I25" s="156">
        <v>3</v>
      </c>
      <c r="J25" s="156">
        <v>0</v>
      </c>
      <c r="K25" s="156">
        <f t="shared" ref="K25:K28" si="3">SUM(G25:J25)</f>
        <v>3</v>
      </c>
      <c r="L25" s="160">
        <f t="shared" ref="L25:L28" si="4">$F25*G25</f>
        <v>0</v>
      </c>
      <c r="M25" s="160">
        <f t="shared" si="2"/>
        <v>0</v>
      </c>
      <c r="N25" s="160">
        <f t="shared" si="2"/>
        <v>232.62</v>
      </c>
      <c r="O25" s="160">
        <f t="shared" si="2"/>
        <v>0</v>
      </c>
      <c r="P25" s="160">
        <f t="shared" ref="P25:P26" si="5">SUM(L25:O25)</f>
        <v>232.62</v>
      </c>
      <c r="Q25" s="161"/>
      <c r="R25" s="136"/>
      <c r="S25" s="108" t="str">
        <f t="shared" ref="S25:S28" si="6">$D$8</f>
        <v>Uniformes (kit básico)</v>
      </c>
      <c r="T25" s="110"/>
    </row>
    <row r="26" spans="1:37" ht="89.25">
      <c r="A26" s="155">
        <v>3</v>
      </c>
      <c r="B26" s="156" t="s">
        <v>214</v>
      </c>
      <c r="C26" s="157" t="s">
        <v>218</v>
      </c>
      <c r="D26" s="158" t="s">
        <v>22</v>
      </c>
      <c r="E26" s="156" t="s">
        <v>216</v>
      </c>
      <c r="F26" s="159">
        <f>'Pesquisa de preços'!F26</f>
        <v>26.29</v>
      </c>
      <c r="G26" s="156">
        <v>33</v>
      </c>
      <c r="H26" s="156">
        <v>6</v>
      </c>
      <c r="I26" s="156">
        <v>3</v>
      </c>
      <c r="J26" s="156">
        <v>0</v>
      </c>
      <c r="K26" s="156">
        <f t="shared" si="3"/>
        <v>42</v>
      </c>
      <c r="L26" s="160">
        <f t="shared" si="4"/>
        <v>867.56999999999994</v>
      </c>
      <c r="M26" s="160">
        <f t="shared" si="2"/>
        <v>157.74</v>
      </c>
      <c r="N26" s="160">
        <f t="shared" si="2"/>
        <v>78.87</v>
      </c>
      <c r="O26" s="160">
        <f t="shared" si="2"/>
        <v>0</v>
      </c>
      <c r="P26" s="160">
        <f t="shared" si="5"/>
        <v>1104.1799999999998</v>
      </c>
      <c r="Q26" s="161"/>
      <c r="R26" s="136"/>
      <c r="S26" s="108" t="str">
        <f t="shared" si="6"/>
        <v>Uniformes (kit básico)</v>
      </c>
      <c r="T26" s="110"/>
    </row>
    <row r="27" spans="1:37" ht="63.75">
      <c r="A27" s="155">
        <v>4</v>
      </c>
      <c r="B27" s="156" t="s">
        <v>214</v>
      </c>
      <c r="C27" s="157" t="s">
        <v>219</v>
      </c>
      <c r="D27" s="158" t="s">
        <v>22</v>
      </c>
      <c r="E27" s="156" t="s">
        <v>216</v>
      </c>
      <c r="F27" s="159">
        <f>'Pesquisa de preços'!F27</f>
        <v>10.74</v>
      </c>
      <c r="G27" s="156">
        <v>11</v>
      </c>
      <c r="H27" s="156">
        <v>2</v>
      </c>
      <c r="I27" s="156">
        <v>1</v>
      </c>
      <c r="J27" s="156">
        <v>0</v>
      </c>
      <c r="K27" s="156">
        <f t="shared" si="3"/>
        <v>14</v>
      </c>
      <c r="L27" s="160">
        <f t="shared" si="4"/>
        <v>118.14</v>
      </c>
      <c r="M27" s="160">
        <f t="shared" si="2"/>
        <v>21.48</v>
      </c>
      <c r="N27" s="160">
        <f>$F27*I27</f>
        <v>10.74</v>
      </c>
      <c r="O27" s="160">
        <f>$F27*J27</f>
        <v>0</v>
      </c>
      <c r="P27" s="160">
        <f>SUM(L27:O27)</f>
        <v>150.36000000000001</v>
      </c>
      <c r="Q27" s="161"/>
      <c r="R27" s="136"/>
      <c r="S27" s="108" t="str">
        <f t="shared" si="6"/>
        <v>Uniformes (kit básico)</v>
      </c>
      <c r="T27" s="110"/>
    </row>
    <row r="28" spans="1:37" ht="51">
      <c r="A28" s="155">
        <v>5</v>
      </c>
      <c r="B28" s="156" t="s">
        <v>214</v>
      </c>
      <c r="C28" s="157" t="s">
        <v>220</v>
      </c>
      <c r="D28" s="163" t="s">
        <v>22</v>
      </c>
      <c r="E28" s="164" t="s">
        <v>221</v>
      </c>
      <c r="F28" s="159">
        <f>'Pesquisa de preços'!F28</f>
        <v>12.89</v>
      </c>
      <c r="G28" s="156">
        <v>33</v>
      </c>
      <c r="H28" s="156">
        <v>6</v>
      </c>
      <c r="I28" s="156">
        <v>3</v>
      </c>
      <c r="J28" s="156">
        <v>0</v>
      </c>
      <c r="K28" s="156">
        <f t="shared" si="3"/>
        <v>42</v>
      </c>
      <c r="L28" s="160">
        <f t="shared" si="4"/>
        <v>425.37</v>
      </c>
      <c r="M28" s="160">
        <f t="shared" si="2"/>
        <v>77.34</v>
      </c>
      <c r="N28" s="160">
        <f t="shared" si="2"/>
        <v>38.67</v>
      </c>
      <c r="O28" s="160">
        <f t="shared" si="2"/>
        <v>0</v>
      </c>
      <c r="P28" s="160">
        <f t="shared" ref="P28" si="7">SUM(L28:O28)</f>
        <v>541.38</v>
      </c>
      <c r="Q28" s="161"/>
      <c r="R28" s="136"/>
      <c r="S28" s="108" t="str">
        <f t="shared" si="6"/>
        <v>Uniformes (kit básico)</v>
      </c>
      <c r="T28" s="110"/>
    </row>
    <row r="29" spans="1:37">
      <c r="A29" s="269" t="str">
        <f>CONCATENATE("Custo anual dos ",S28," (R$)")</f>
        <v>Custo anual dos Uniformes (kit básico) (R$)</v>
      </c>
      <c r="B29" s="270"/>
      <c r="C29" s="270"/>
      <c r="D29" s="260"/>
      <c r="E29" s="260"/>
      <c r="F29" s="260"/>
      <c r="G29" s="260"/>
      <c r="H29" s="260"/>
      <c r="I29" s="260"/>
      <c r="J29" s="260"/>
      <c r="K29" s="261"/>
      <c r="L29" s="166">
        <f>SUM(L24:L28)</f>
        <v>3168.6599999999994</v>
      </c>
      <c r="M29" s="166">
        <f t="shared" ref="M29:O29" si="8">SUM(M24:M28)</f>
        <v>576.12</v>
      </c>
      <c r="N29" s="166">
        <f t="shared" si="8"/>
        <v>360.90000000000003</v>
      </c>
      <c r="O29" s="166">
        <f t="shared" si="8"/>
        <v>0</v>
      </c>
      <c r="P29" s="166">
        <f>SUM(P24:P28)</f>
        <v>4105.6799999999994</v>
      </c>
      <c r="Q29" s="153"/>
      <c r="R29" s="136"/>
      <c r="S29" s="110"/>
      <c r="T29" s="110"/>
    </row>
    <row r="30" spans="1:37">
      <c r="A30" s="271" t="str">
        <f>CONCATENATE("Custo mensal dos ",S28," (R$)")</f>
        <v>Custo mensal dos Uniformes (kit básico) (R$)</v>
      </c>
      <c r="B30" s="260"/>
      <c r="C30" s="260"/>
      <c r="D30" s="260"/>
      <c r="E30" s="260"/>
      <c r="F30" s="260"/>
      <c r="G30" s="260"/>
      <c r="H30" s="260"/>
      <c r="I30" s="260"/>
      <c r="J30" s="260"/>
      <c r="K30" s="261"/>
      <c r="L30" s="166">
        <f>L29/12</f>
        <v>264.05499999999995</v>
      </c>
      <c r="M30" s="166">
        <f t="shared" ref="M30:P30" si="9">M29/12</f>
        <v>48.01</v>
      </c>
      <c r="N30" s="166">
        <f t="shared" si="9"/>
        <v>30.075000000000003</v>
      </c>
      <c r="O30" s="166">
        <f t="shared" si="9"/>
        <v>0</v>
      </c>
      <c r="P30" s="166">
        <f t="shared" si="9"/>
        <v>342.13999999999993</v>
      </c>
      <c r="Q30" s="153"/>
      <c r="R30" s="136"/>
      <c r="S30" s="110"/>
      <c r="T30" s="110"/>
    </row>
    <row r="31" spans="1:37">
      <c r="A31" s="271" t="str">
        <f>CONCATENATE("Custo mensal dos ",S28," por posto (R$)")</f>
        <v>Custo mensal dos Uniformes (kit básico) por posto (R$)</v>
      </c>
      <c r="B31" s="260"/>
      <c r="C31" s="260"/>
      <c r="D31" s="260"/>
      <c r="E31" s="260"/>
      <c r="F31" s="260"/>
      <c r="G31" s="260"/>
      <c r="H31" s="260"/>
      <c r="I31" s="260"/>
      <c r="J31" s="260"/>
      <c r="K31" s="261"/>
      <c r="L31" s="167">
        <f>L30/S9</f>
        <v>24.004999999999995</v>
      </c>
      <c r="M31" s="167">
        <f>M30/S10</f>
        <v>24.004999999999999</v>
      </c>
      <c r="N31" s="167">
        <f>N30/S11</f>
        <v>30.075000000000003</v>
      </c>
      <c r="O31" s="167">
        <f>IF(ISERR(ROUND(O30/$S$12,2)),0,ROUND(O30/$S$12,2))</f>
        <v>0</v>
      </c>
      <c r="P31" s="168" t="s">
        <v>22</v>
      </c>
      <c r="Q31" s="169"/>
      <c r="R31" s="136"/>
      <c r="S31" s="110"/>
      <c r="T31" s="110"/>
    </row>
    <row r="32" spans="1:37">
      <c r="A32" s="170"/>
      <c r="B32" s="171"/>
      <c r="C32" s="171"/>
      <c r="D32" s="171"/>
      <c r="E32" s="171"/>
      <c r="F32" s="170"/>
      <c r="G32" s="169"/>
      <c r="H32" s="169"/>
      <c r="I32" s="169"/>
      <c r="J32" s="169"/>
      <c r="K32" s="169"/>
      <c r="L32" s="169"/>
      <c r="M32" s="169"/>
      <c r="N32" s="169"/>
      <c r="O32" s="169"/>
      <c r="P32" s="169"/>
      <c r="Q32" s="169"/>
      <c r="R32" s="136"/>
      <c r="T32" s="110"/>
    </row>
    <row r="33" spans="1:37">
      <c r="A33" s="170"/>
      <c r="B33" s="171"/>
      <c r="C33" s="171"/>
      <c r="D33" s="171"/>
      <c r="E33" s="171"/>
      <c r="F33" s="170"/>
      <c r="G33" s="169"/>
      <c r="H33" s="169"/>
      <c r="I33" s="169"/>
      <c r="J33" s="169"/>
      <c r="K33" s="169"/>
      <c r="L33" s="169"/>
      <c r="M33" s="169"/>
      <c r="N33" s="169"/>
      <c r="O33" s="169"/>
      <c r="P33" s="169"/>
      <c r="Q33" s="169"/>
      <c r="R33" s="136"/>
      <c r="T33" s="110"/>
    </row>
    <row r="34" spans="1:37">
      <c r="A34" s="170"/>
      <c r="B34" s="171"/>
      <c r="C34" s="171"/>
      <c r="D34" s="171"/>
      <c r="E34" s="171"/>
      <c r="F34" s="170"/>
      <c r="G34" s="169"/>
      <c r="H34" s="169"/>
      <c r="I34" s="169"/>
      <c r="J34" s="169"/>
      <c r="K34" s="169"/>
      <c r="L34" s="153"/>
      <c r="M34" s="153"/>
      <c r="N34" s="153"/>
      <c r="O34" s="153"/>
      <c r="P34" s="153"/>
      <c r="Q34" s="153"/>
      <c r="R34" s="136"/>
      <c r="T34" s="110"/>
    </row>
    <row r="35" spans="1:37">
      <c r="A35" s="148" t="str">
        <f>D9</f>
        <v>Materiais e EPIs/EPCs (sob demanda)</v>
      </c>
      <c r="R35" s="136"/>
      <c r="T35" s="110"/>
    </row>
    <row r="36" spans="1:37">
      <c r="R36" s="136"/>
      <c r="T36" s="110"/>
    </row>
    <row r="37" spans="1:37">
      <c r="G37" s="266" t="str">
        <f>G14</f>
        <v>Qtde. anual por tipo de posto</v>
      </c>
      <c r="H37" s="267"/>
      <c r="I37" s="267"/>
      <c r="J37" s="267"/>
      <c r="K37" s="268"/>
      <c r="L37" s="262" t="str">
        <f>L14</f>
        <v>Custo anual por tipo de posto (R$)</v>
      </c>
      <c r="M37" s="263"/>
      <c r="N37" s="263"/>
      <c r="O37" s="263"/>
      <c r="P37" s="264"/>
      <c r="Q37" s="140"/>
      <c r="R37" s="136"/>
      <c r="T37" s="110"/>
    </row>
    <row r="38" spans="1:37" ht="38.25">
      <c r="A38" s="149" t="s">
        <v>2</v>
      </c>
      <c r="B38" s="151" t="s">
        <v>205</v>
      </c>
      <c r="C38" s="149" t="s">
        <v>206</v>
      </c>
      <c r="D38" s="149" t="s">
        <v>207</v>
      </c>
      <c r="E38" s="149" t="s">
        <v>208</v>
      </c>
      <c r="F38" s="151" t="s">
        <v>209</v>
      </c>
      <c r="G38" s="149" t="s">
        <v>210</v>
      </c>
      <c r="H38" s="149" t="s">
        <v>211</v>
      </c>
      <c r="I38" s="149" t="s">
        <v>200</v>
      </c>
      <c r="J38" s="149" t="s">
        <v>202</v>
      </c>
      <c r="K38" s="149" t="s">
        <v>201</v>
      </c>
      <c r="L38" s="152" t="str">
        <f>$G$23</f>
        <v>Serv. limpeza</v>
      </c>
      <c r="M38" s="152" t="str">
        <f>$H$23</f>
        <v>Serv. limpeza insalub.</v>
      </c>
      <c r="N38" s="152" t="str">
        <f>$I$23</f>
        <v>Encarregado</v>
      </c>
      <c r="O38" s="152" t="str">
        <f>$J$23</f>
        <v>Supervisor</v>
      </c>
      <c r="P38" s="152" t="str">
        <f>$K$23</f>
        <v>Total</v>
      </c>
      <c r="Q38" s="153"/>
      <c r="R38" s="136"/>
      <c r="S38" s="154" t="str">
        <f>S$15</f>
        <v>Grupo de insumos</v>
      </c>
      <c r="T38" s="110"/>
      <c r="AB38" s="138"/>
      <c r="AC38" s="138"/>
      <c r="AD38" s="138"/>
      <c r="AE38" s="138"/>
      <c r="AF38" s="138"/>
      <c r="AG38" s="138"/>
      <c r="AH38" s="138"/>
      <c r="AI38" s="138"/>
      <c r="AJ38" s="138"/>
      <c r="AK38" s="138"/>
    </row>
    <row r="39" spans="1:37" ht="76.5">
      <c r="A39" s="155">
        <v>1</v>
      </c>
      <c r="B39" s="172" t="s">
        <v>183</v>
      </c>
      <c r="C39" s="187" t="s">
        <v>222</v>
      </c>
      <c r="D39" s="174" t="s">
        <v>223</v>
      </c>
      <c r="E39" s="156" t="s">
        <v>224</v>
      </c>
      <c r="F39" s="190">
        <v>10.41</v>
      </c>
      <c r="G39" s="187">
        <v>40</v>
      </c>
      <c r="H39" s="187">
        <v>0</v>
      </c>
      <c r="I39" s="187">
        <v>0</v>
      </c>
      <c r="J39" s="187">
        <v>0</v>
      </c>
      <c r="K39" s="156">
        <f>SUM(G39:J39)</f>
        <v>40</v>
      </c>
      <c r="L39" s="160">
        <f>$F39*G39</f>
        <v>416.4</v>
      </c>
      <c r="M39" s="160">
        <f t="shared" ref="M39:O54" si="10">$F39*H39</f>
        <v>0</v>
      </c>
      <c r="N39" s="160">
        <f t="shared" si="10"/>
        <v>0</v>
      </c>
      <c r="O39" s="160">
        <f t="shared" si="10"/>
        <v>0</v>
      </c>
      <c r="P39" s="160">
        <f>SUM(L39:O39)</f>
        <v>416.4</v>
      </c>
      <c r="Q39" s="161"/>
      <c r="R39" s="136"/>
      <c r="S39" s="108" t="str">
        <f>$D$9</f>
        <v>Materiais e EPIs/EPCs (sob demanda)</v>
      </c>
      <c r="T39" s="162" t="str">
        <f>S39</f>
        <v>Materiais e EPIs/EPCs (sob demanda)</v>
      </c>
    </row>
    <row r="40" spans="1:37" ht="38.25">
      <c r="A40" s="155">
        <v>2</v>
      </c>
      <c r="B40" s="172" t="s">
        <v>183</v>
      </c>
      <c r="C40" s="173" t="s">
        <v>225</v>
      </c>
      <c r="D40" s="174" t="s">
        <v>226</v>
      </c>
      <c r="E40" s="156" t="s">
        <v>216</v>
      </c>
      <c r="F40" s="159">
        <v>9.4700000000000006</v>
      </c>
      <c r="G40" s="156">
        <v>240</v>
      </c>
      <c r="H40" s="156">
        <v>0</v>
      </c>
      <c r="I40" s="156">
        <v>0</v>
      </c>
      <c r="J40" s="156">
        <v>0</v>
      </c>
      <c r="K40" s="156">
        <f t="shared" ref="K40:K103" si="11">SUM(G40:J40)</f>
        <v>240</v>
      </c>
      <c r="L40" s="160">
        <f t="shared" ref="L40:O103" si="12">$F40*G40</f>
        <v>2272.8000000000002</v>
      </c>
      <c r="M40" s="160">
        <f t="shared" si="10"/>
        <v>0</v>
      </c>
      <c r="N40" s="160">
        <f t="shared" si="10"/>
        <v>0</v>
      </c>
      <c r="O40" s="160">
        <f t="shared" si="10"/>
        <v>0</v>
      </c>
      <c r="P40" s="160">
        <f t="shared" ref="P40:P103" si="13">SUM(L40:O40)</f>
        <v>2272.8000000000002</v>
      </c>
      <c r="Q40" s="161"/>
      <c r="R40" s="136"/>
      <c r="S40" s="108" t="str">
        <f t="shared" ref="S40:S103" si="14">$D$9</f>
        <v>Materiais e EPIs/EPCs (sob demanda)</v>
      </c>
      <c r="T40" s="110"/>
    </row>
    <row r="41" spans="1:37" ht="51">
      <c r="A41" s="155">
        <v>3</v>
      </c>
      <c r="B41" s="172" t="s">
        <v>183</v>
      </c>
      <c r="C41" s="173" t="s">
        <v>227</v>
      </c>
      <c r="D41" s="174" t="s">
        <v>228</v>
      </c>
      <c r="E41" s="156" t="s">
        <v>224</v>
      </c>
      <c r="F41" s="159">
        <v>34.71</v>
      </c>
      <c r="G41" s="156">
        <v>72</v>
      </c>
      <c r="H41" s="156">
        <v>0</v>
      </c>
      <c r="I41" s="156">
        <v>0</v>
      </c>
      <c r="J41" s="156">
        <v>0</v>
      </c>
      <c r="K41" s="156">
        <f t="shared" si="11"/>
        <v>72</v>
      </c>
      <c r="L41" s="160">
        <f t="shared" si="12"/>
        <v>2499.12</v>
      </c>
      <c r="M41" s="160">
        <f t="shared" si="10"/>
        <v>0</v>
      </c>
      <c r="N41" s="160">
        <f t="shared" si="10"/>
        <v>0</v>
      </c>
      <c r="O41" s="160">
        <f t="shared" si="10"/>
        <v>0</v>
      </c>
      <c r="P41" s="160">
        <f t="shared" si="13"/>
        <v>2499.12</v>
      </c>
      <c r="Q41" s="161"/>
      <c r="R41" s="136"/>
      <c r="S41" s="108" t="str">
        <f t="shared" si="14"/>
        <v>Materiais e EPIs/EPCs (sob demanda)</v>
      </c>
      <c r="T41" s="110"/>
    </row>
    <row r="42" spans="1:37" ht="51">
      <c r="A42" s="155">
        <v>4</v>
      </c>
      <c r="B42" s="172" t="s">
        <v>183</v>
      </c>
      <c r="C42" s="173" t="s">
        <v>229</v>
      </c>
      <c r="D42" s="174" t="s">
        <v>230</v>
      </c>
      <c r="E42" s="156" t="s">
        <v>231</v>
      </c>
      <c r="F42" s="159">
        <v>29.91</v>
      </c>
      <c r="G42" s="156">
        <v>40</v>
      </c>
      <c r="H42" s="156">
        <v>0</v>
      </c>
      <c r="I42" s="156">
        <v>0</v>
      </c>
      <c r="J42" s="156">
        <v>0</v>
      </c>
      <c r="K42" s="156">
        <f t="shared" si="11"/>
        <v>40</v>
      </c>
      <c r="L42" s="160">
        <f t="shared" si="12"/>
        <v>1196.4000000000001</v>
      </c>
      <c r="M42" s="160">
        <f t="shared" si="10"/>
        <v>0</v>
      </c>
      <c r="N42" s="160">
        <f t="shared" si="10"/>
        <v>0</v>
      </c>
      <c r="O42" s="160">
        <f t="shared" si="10"/>
        <v>0</v>
      </c>
      <c r="P42" s="160">
        <f t="shared" si="13"/>
        <v>1196.4000000000001</v>
      </c>
      <c r="Q42" s="161"/>
      <c r="R42" s="136"/>
      <c r="S42" s="108" t="str">
        <f t="shared" si="14"/>
        <v>Materiais e EPIs/EPCs (sob demanda)</v>
      </c>
      <c r="T42" s="110"/>
    </row>
    <row r="43" spans="1:37" ht="38.25">
      <c r="A43" s="155">
        <v>5</v>
      </c>
      <c r="B43" s="172" t="s">
        <v>183</v>
      </c>
      <c r="C43" s="173" t="s">
        <v>232</v>
      </c>
      <c r="D43" s="174" t="s">
        <v>226</v>
      </c>
      <c r="E43" s="156" t="s">
        <v>216</v>
      </c>
      <c r="F43" s="159">
        <v>16.38</v>
      </c>
      <c r="G43" s="156">
        <v>40</v>
      </c>
      <c r="H43" s="156">
        <v>0</v>
      </c>
      <c r="I43" s="156">
        <v>0</v>
      </c>
      <c r="J43" s="156">
        <v>0</v>
      </c>
      <c r="K43" s="156">
        <f t="shared" si="11"/>
        <v>40</v>
      </c>
      <c r="L43" s="160">
        <f t="shared" si="12"/>
        <v>655.19999999999993</v>
      </c>
      <c r="M43" s="160">
        <f t="shared" si="10"/>
        <v>0</v>
      </c>
      <c r="N43" s="160">
        <f t="shared" si="10"/>
        <v>0</v>
      </c>
      <c r="O43" s="160">
        <f t="shared" si="10"/>
        <v>0</v>
      </c>
      <c r="P43" s="160">
        <f t="shared" si="13"/>
        <v>655.19999999999993</v>
      </c>
      <c r="Q43" s="161"/>
      <c r="R43" s="136"/>
      <c r="S43" s="108" t="str">
        <f t="shared" si="14"/>
        <v>Materiais e EPIs/EPCs (sob demanda)</v>
      </c>
      <c r="T43" s="110"/>
    </row>
    <row r="44" spans="1:37" ht="38.25">
      <c r="A44" s="155">
        <v>6</v>
      </c>
      <c r="B44" s="172" t="s">
        <v>183</v>
      </c>
      <c r="C44" s="173" t="s">
        <v>233</v>
      </c>
      <c r="D44" s="174" t="s">
        <v>226</v>
      </c>
      <c r="E44" s="156" t="s">
        <v>216</v>
      </c>
      <c r="F44" s="159">
        <v>213.95</v>
      </c>
      <c r="G44" s="156">
        <v>16</v>
      </c>
      <c r="H44" s="156">
        <v>0</v>
      </c>
      <c r="I44" s="156">
        <v>0</v>
      </c>
      <c r="J44" s="156">
        <v>0</v>
      </c>
      <c r="K44" s="156">
        <f t="shared" si="11"/>
        <v>16</v>
      </c>
      <c r="L44" s="160">
        <f t="shared" si="12"/>
        <v>3423.2</v>
      </c>
      <c r="M44" s="160">
        <f t="shared" si="10"/>
        <v>0</v>
      </c>
      <c r="N44" s="160">
        <f t="shared" si="10"/>
        <v>0</v>
      </c>
      <c r="O44" s="160">
        <f t="shared" si="10"/>
        <v>0</v>
      </c>
      <c r="P44" s="160">
        <f t="shared" si="13"/>
        <v>3423.2</v>
      </c>
      <c r="Q44" s="161"/>
      <c r="R44" s="136"/>
      <c r="S44" s="108" t="str">
        <f t="shared" si="14"/>
        <v>Materiais e EPIs/EPCs (sob demanda)</v>
      </c>
      <c r="T44" s="110"/>
    </row>
    <row r="45" spans="1:37" ht="38.25">
      <c r="A45" s="155">
        <v>7</v>
      </c>
      <c r="B45" s="172" t="s">
        <v>183</v>
      </c>
      <c r="C45" s="173" t="s">
        <v>234</v>
      </c>
      <c r="D45" s="174" t="s">
        <v>235</v>
      </c>
      <c r="E45" s="156" t="s">
        <v>216</v>
      </c>
      <c r="F45" s="159">
        <v>22</v>
      </c>
      <c r="G45" s="156">
        <v>8</v>
      </c>
      <c r="H45" s="156">
        <v>0</v>
      </c>
      <c r="I45" s="156">
        <v>0</v>
      </c>
      <c r="J45" s="156">
        <v>0</v>
      </c>
      <c r="K45" s="156">
        <f t="shared" si="11"/>
        <v>8</v>
      </c>
      <c r="L45" s="160">
        <f t="shared" si="12"/>
        <v>176</v>
      </c>
      <c r="M45" s="160">
        <f t="shared" si="10"/>
        <v>0</v>
      </c>
      <c r="N45" s="160">
        <f t="shared" si="10"/>
        <v>0</v>
      </c>
      <c r="O45" s="160">
        <f t="shared" si="10"/>
        <v>0</v>
      </c>
      <c r="P45" s="160">
        <f t="shared" si="13"/>
        <v>176</v>
      </c>
      <c r="Q45" s="161"/>
      <c r="R45" s="136"/>
      <c r="S45" s="108" t="str">
        <f t="shared" si="14"/>
        <v>Materiais e EPIs/EPCs (sob demanda)</v>
      </c>
      <c r="T45" s="110"/>
    </row>
    <row r="46" spans="1:37" ht="38.25">
      <c r="A46" s="155">
        <v>8</v>
      </c>
      <c r="B46" s="172" t="s">
        <v>183</v>
      </c>
      <c r="C46" s="173" t="s">
        <v>236</v>
      </c>
      <c r="D46" s="174" t="s">
        <v>22</v>
      </c>
      <c r="E46" s="156" t="s">
        <v>216</v>
      </c>
      <c r="F46" s="159">
        <v>17.239999999999998</v>
      </c>
      <c r="G46" s="156">
        <v>10</v>
      </c>
      <c r="H46" s="156">
        <v>0</v>
      </c>
      <c r="I46" s="156">
        <v>0</v>
      </c>
      <c r="J46" s="156">
        <v>0</v>
      </c>
      <c r="K46" s="156">
        <f t="shared" si="11"/>
        <v>10</v>
      </c>
      <c r="L46" s="160">
        <f t="shared" si="12"/>
        <v>172.39999999999998</v>
      </c>
      <c r="M46" s="160">
        <f t="shared" si="10"/>
        <v>0</v>
      </c>
      <c r="N46" s="160">
        <f t="shared" si="10"/>
        <v>0</v>
      </c>
      <c r="O46" s="160">
        <f t="shared" si="10"/>
        <v>0</v>
      </c>
      <c r="P46" s="160">
        <f t="shared" si="13"/>
        <v>172.39999999999998</v>
      </c>
      <c r="Q46" s="161"/>
      <c r="R46" s="136"/>
      <c r="S46" s="108" t="str">
        <f t="shared" si="14"/>
        <v>Materiais e EPIs/EPCs (sob demanda)</v>
      </c>
      <c r="T46" s="110"/>
    </row>
    <row r="47" spans="1:37" ht="38.25">
      <c r="A47" s="155">
        <v>9</v>
      </c>
      <c r="B47" s="172" t="s">
        <v>183</v>
      </c>
      <c r="C47" s="173" t="s">
        <v>237</v>
      </c>
      <c r="D47" s="174" t="s">
        <v>238</v>
      </c>
      <c r="E47" s="156" t="s">
        <v>216</v>
      </c>
      <c r="F47" s="159">
        <v>54.5</v>
      </c>
      <c r="G47" s="156">
        <v>8</v>
      </c>
      <c r="H47" s="156">
        <v>0</v>
      </c>
      <c r="I47" s="156">
        <v>0</v>
      </c>
      <c r="J47" s="156">
        <v>0</v>
      </c>
      <c r="K47" s="156">
        <f t="shared" si="11"/>
        <v>8</v>
      </c>
      <c r="L47" s="160">
        <f t="shared" si="12"/>
        <v>436</v>
      </c>
      <c r="M47" s="160">
        <f t="shared" si="10"/>
        <v>0</v>
      </c>
      <c r="N47" s="160">
        <f t="shared" si="10"/>
        <v>0</v>
      </c>
      <c r="O47" s="160">
        <f t="shared" si="10"/>
        <v>0</v>
      </c>
      <c r="P47" s="160">
        <f t="shared" si="13"/>
        <v>436</v>
      </c>
      <c r="Q47" s="161"/>
      <c r="R47" s="136"/>
      <c r="S47" s="108" t="str">
        <f t="shared" si="14"/>
        <v>Materiais e EPIs/EPCs (sob demanda)</v>
      </c>
      <c r="T47" s="110"/>
    </row>
    <row r="48" spans="1:37" ht="38.25">
      <c r="A48" s="155">
        <v>10</v>
      </c>
      <c r="B48" s="172" t="s">
        <v>183</v>
      </c>
      <c r="C48" s="173" t="s">
        <v>239</v>
      </c>
      <c r="D48" s="174" t="s">
        <v>238</v>
      </c>
      <c r="E48" s="156" t="s">
        <v>216</v>
      </c>
      <c r="F48" s="159">
        <v>75.31</v>
      </c>
      <c r="G48" s="156">
        <v>20</v>
      </c>
      <c r="H48" s="156">
        <v>0</v>
      </c>
      <c r="I48" s="156">
        <v>0</v>
      </c>
      <c r="J48" s="156">
        <v>0</v>
      </c>
      <c r="K48" s="156">
        <f t="shared" si="11"/>
        <v>20</v>
      </c>
      <c r="L48" s="160">
        <f t="shared" si="12"/>
        <v>1506.2</v>
      </c>
      <c r="M48" s="160">
        <f t="shared" si="10"/>
        <v>0</v>
      </c>
      <c r="N48" s="160">
        <f t="shared" si="10"/>
        <v>0</v>
      </c>
      <c r="O48" s="160">
        <f t="shared" si="10"/>
        <v>0</v>
      </c>
      <c r="P48" s="160">
        <f t="shared" si="13"/>
        <v>1506.2</v>
      </c>
      <c r="Q48" s="161"/>
      <c r="R48" s="136"/>
      <c r="S48" s="108" t="str">
        <f t="shared" si="14"/>
        <v>Materiais e EPIs/EPCs (sob demanda)</v>
      </c>
      <c r="T48" s="110"/>
    </row>
    <row r="49" spans="1:20" ht="38.25">
      <c r="A49" s="155">
        <v>11</v>
      </c>
      <c r="B49" s="172" t="s">
        <v>183</v>
      </c>
      <c r="C49" s="173" t="s">
        <v>240</v>
      </c>
      <c r="D49" s="174" t="s">
        <v>241</v>
      </c>
      <c r="E49" s="156" t="s">
        <v>216</v>
      </c>
      <c r="F49" s="159">
        <v>6.48</v>
      </c>
      <c r="G49" s="156">
        <v>120</v>
      </c>
      <c r="H49" s="156">
        <v>0</v>
      </c>
      <c r="I49" s="156">
        <v>0</v>
      </c>
      <c r="J49" s="156">
        <v>0</v>
      </c>
      <c r="K49" s="156">
        <f t="shared" si="11"/>
        <v>120</v>
      </c>
      <c r="L49" s="160">
        <f t="shared" si="12"/>
        <v>777.6</v>
      </c>
      <c r="M49" s="160">
        <f t="shared" si="10"/>
        <v>0</v>
      </c>
      <c r="N49" s="160">
        <f t="shared" si="10"/>
        <v>0</v>
      </c>
      <c r="O49" s="160">
        <f t="shared" si="10"/>
        <v>0</v>
      </c>
      <c r="P49" s="160">
        <f t="shared" si="13"/>
        <v>777.6</v>
      </c>
      <c r="Q49" s="161"/>
      <c r="R49" s="136"/>
      <c r="S49" s="108" t="str">
        <f t="shared" si="14"/>
        <v>Materiais e EPIs/EPCs (sob demanda)</v>
      </c>
      <c r="T49" s="110"/>
    </row>
    <row r="50" spans="1:20" ht="38.25">
      <c r="A50" s="155">
        <v>12</v>
      </c>
      <c r="B50" s="172" t="s">
        <v>183</v>
      </c>
      <c r="C50" s="173" t="s">
        <v>242</v>
      </c>
      <c r="D50" s="174" t="s">
        <v>243</v>
      </c>
      <c r="E50" s="156" t="s">
        <v>216</v>
      </c>
      <c r="F50" s="159">
        <v>10.64</v>
      </c>
      <c r="G50" s="156">
        <v>10</v>
      </c>
      <c r="H50" s="156">
        <v>0</v>
      </c>
      <c r="I50" s="156">
        <v>0</v>
      </c>
      <c r="J50" s="156">
        <v>0</v>
      </c>
      <c r="K50" s="156">
        <f t="shared" si="11"/>
        <v>10</v>
      </c>
      <c r="L50" s="160">
        <f t="shared" si="12"/>
        <v>106.4</v>
      </c>
      <c r="M50" s="160">
        <f t="shared" si="10"/>
        <v>0</v>
      </c>
      <c r="N50" s="160">
        <f t="shared" si="10"/>
        <v>0</v>
      </c>
      <c r="O50" s="160">
        <f t="shared" si="10"/>
        <v>0</v>
      </c>
      <c r="P50" s="160">
        <f t="shared" si="13"/>
        <v>106.4</v>
      </c>
      <c r="Q50" s="161"/>
      <c r="R50" s="136"/>
      <c r="S50" s="108" t="str">
        <f t="shared" si="14"/>
        <v>Materiais e EPIs/EPCs (sob demanda)</v>
      </c>
      <c r="T50" s="110"/>
    </row>
    <row r="51" spans="1:20" ht="38.25">
      <c r="A51" s="155">
        <v>13</v>
      </c>
      <c r="B51" s="172" t="s">
        <v>183</v>
      </c>
      <c r="C51" s="173" t="s">
        <v>244</v>
      </c>
      <c r="D51" s="174" t="s">
        <v>245</v>
      </c>
      <c r="E51" s="156" t="s">
        <v>216</v>
      </c>
      <c r="F51" s="159">
        <v>7.53</v>
      </c>
      <c r="G51" s="156">
        <v>20</v>
      </c>
      <c r="H51" s="156">
        <v>0</v>
      </c>
      <c r="I51" s="156">
        <v>0</v>
      </c>
      <c r="J51" s="156">
        <v>0</v>
      </c>
      <c r="K51" s="156">
        <f t="shared" si="11"/>
        <v>20</v>
      </c>
      <c r="L51" s="160">
        <f t="shared" si="12"/>
        <v>150.6</v>
      </c>
      <c r="M51" s="160">
        <f t="shared" si="10"/>
        <v>0</v>
      </c>
      <c r="N51" s="160">
        <f t="shared" si="10"/>
        <v>0</v>
      </c>
      <c r="O51" s="160">
        <f t="shared" si="10"/>
        <v>0</v>
      </c>
      <c r="P51" s="160">
        <f t="shared" si="13"/>
        <v>150.6</v>
      </c>
      <c r="Q51" s="161"/>
      <c r="R51" s="136"/>
      <c r="S51" s="108" t="str">
        <f t="shared" si="14"/>
        <v>Materiais e EPIs/EPCs (sob demanda)</v>
      </c>
      <c r="T51" s="110"/>
    </row>
    <row r="52" spans="1:20" ht="178.5">
      <c r="A52" s="155">
        <v>14</v>
      </c>
      <c r="B52" s="172" t="s">
        <v>183</v>
      </c>
      <c r="C52" s="173" t="s">
        <v>246</v>
      </c>
      <c r="D52" s="174" t="s">
        <v>247</v>
      </c>
      <c r="E52" s="156" t="s">
        <v>216</v>
      </c>
      <c r="F52" s="159">
        <v>17.350000000000001</v>
      </c>
      <c r="G52" s="156">
        <v>144</v>
      </c>
      <c r="H52" s="156">
        <v>0</v>
      </c>
      <c r="I52" s="156">
        <v>0</v>
      </c>
      <c r="J52" s="156">
        <v>0</v>
      </c>
      <c r="K52" s="156">
        <f t="shared" si="11"/>
        <v>144</v>
      </c>
      <c r="L52" s="160">
        <f t="shared" si="12"/>
        <v>2498.4</v>
      </c>
      <c r="M52" s="160">
        <f t="shared" si="10"/>
        <v>0</v>
      </c>
      <c r="N52" s="160">
        <f t="shared" si="10"/>
        <v>0</v>
      </c>
      <c r="O52" s="160">
        <f t="shared" si="10"/>
        <v>0</v>
      </c>
      <c r="P52" s="160">
        <f t="shared" si="13"/>
        <v>2498.4</v>
      </c>
      <c r="Q52" s="161"/>
      <c r="R52" s="136"/>
      <c r="S52" s="108" t="str">
        <f t="shared" si="14"/>
        <v>Materiais e EPIs/EPCs (sob demanda)</v>
      </c>
      <c r="T52" s="110"/>
    </row>
    <row r="53" spans="1:20" ht="63.75">
      <c r="A53" s="155">
        <v>15</v>
      </c>
      <c r="B53" s="172" t="s">
        <v>183</v>
      </c>
      <c r="C53" s="173" t="s">
        <v>248</v>
      </c>
      <c r="D53" s="174" t="s">
        <v>226</v>
      </c>
      <c r="E53" s="156" t="s">
        <v>216</v>
      </c>
      <c r="F53" s="159">
        <v>23.86</v>
      </c>
      <c r="G53" s="156">
        <v>144</v>
      </c>
      <c r="H53" s="156">
        <v>0</v>
      </c>
      <c r="I53" s="156">
        <v>0</v>
      </c>
      <c r="J53" s="156">
        <v>0</v>
      </c>
      <c r="K53" s="156">
        <f t="shared" si="11"/>
        <v>144</v>
      </c>
      <c r="L53" s="160">
        <f t="shared" si="12"/>
        <v>3435.84</v>
      </c>
      <c r="M53" s="160">
        <f t="shared" si="10"/>
        <v>0</v>
      </c>
      <c r="N53" s="160">
        <f t="shared" si="10"/>
        <v>0</v>
      </c>
      <c r="O53" s="160">
        <f t="shared" si="10"/>
        <v>0</v>
      </c>
      <c r="P53" s="160">
        <f t="shared" si="13"/>
        <v>3435.84</v>
      </c>
      <c r="Q53" s="161"/>
      <c r="R53" s="136"/>
      <c r="S53" s="108" t="str">
        <f t="shared" si="14"/>
        <v>Materiais e EPIs/EPCs (sob demanda)</v>
      </c>
      <c r="T53" s="110"/>
    </row>
    <row r="54" spans="1:20" ht="38.25">
      <c r="A54" s="155">
        <v>16</v>
      </c>
      <c r="B54" s="172" t="s">
        <v>183</v>
      </c>
      <c r="C54" s="173" t="s">
        <v>249</v>
      </c>
      <c r="D54" s="174" t="s">
        <v>250</v>
      </c>
      <c r="E54" s="156" t="s">
        <v>251</v>
      </c>
      <c r="F54" s="159">
        <v>2.17</v>
      </c>
      <c r="G54" s="156">
        <v>360</v>
      </c>
      <c r="H54" s="156">
        <v>0</v>
      </c>
      <c r="I54" s="156">
        <v>0</v>
      </c>
      <c r="J54" s="156">
        <v>0</v>
      </c>
      <c r="K54" s="156">
        <f t="shared" si="11"/>
        <v>360</v>
      </c>
      <c r="L54" s="160">
        <f t="shared" si="12"/>
        <v>781.19999999999993</v>
      </c>
      <c r="M54" s="160">
        <f t="shared" si="10"/>
        <v>0</v>
      </c>
      <c r="N54" s="160">
        <f t="shared" si="10"/>
        <v>0</v>
      </c>
      <c r="O54" s="160">
        <f t="shared" si="10"/>
        <v>0</v>
      </c>
      <c r="P54" s="160">
        <f t="shared" si="13"/>
        <v>781.19999999999993</v>
      </c>
      <c r="Q54" s="161"/>
      <c r="R54" s="136"/>
      <c r="S54" s="108" t="str">
        <f t="shared" si="14"/>
        <v>Materiais e EPIs/EPCs (sob demanda)</v>
      </c>
      <c r="T54" s="110"/>
    </row>
    <row r="55" spans="1:20" ht="51">
      <c r="A55" s="155">
        <v>17</v>
      </c>
      <c r="B55" s="172" t="s">
        <v>183</v>
      </c>
      <c r="C55" s="191" t="s">
        <v>252</v>
      </c>
      <c r="D55" s="174" t="s">
        <v>253</v>
      </c>
      <c r="E55" s="156" t="s">
        <v>231</v>
      </c>
      <c r="F55" s="159">
        <v>24.64</v>
      </c>
      <c r="G55" s="156">
        <v>40</v>
      </c>
      <c r="H55" s="156">
        <v>0</v>
      </c>
      <c r="I55" s="156">
        <v>0</v>
      </c>
      <c r="J55" s="156">
        <v>0</v>
      </c>
      <c r="K55" s="156">
        <f t="shared" si="11"/>
        <v>40</v>
      </c>
      <c r="L55" s="160">
        <f t="shared" si="12"/>
        <v>985.6</v>
      </c>
      <c r="M55" s="160">
        <f t="shared" si="12"/>
        <v>0</v>
      </c>
      <c r="N55" s="160">
        <f t="shared" si="12"/>
        <v>0</v>
      </c>
      <c r="O55" s="160">
        <f t="shared" si="12"/>
        <v>0</v>
      </c>
      <c r="P55" s="160">
        <f t="shared" si="13"/>
        <v>985.6</v>
      </c>
      <c r="Q55" s="161"/>
      <c r="R55" s="136"/>
      <c r="S55" s="108" t="str">
        <f t="shared" si="14"/>
        <v>Materiais e EPIs/EPCs (sob demanda)</v>
      </c>
      <c r="T55" s="110"/>
    </row>
    <row r="56" spans="1:20" ht="38.25">
      <c r="A56" s="155">
        <v>18</v>
      </c>
      <c r="B56" s="172" t="s">
        <v>183</v>
      </c>
      <c r="C56" s="173" t="s">
        <v>254</v>
      </c>
      <c r="D56" s="174" t="s">
        <v>255</v>
      </c>
      <c r="E56" s="156" t="s">
        <v>231</v>
      </c>
      <c r="F56" s="159">
        <v>4.3899999999999997</v>
      </c>
      <c r="G56" s="156">
        <v>40</v>
      </c>
      <c r="H56" s="156">
        <v>0</v>
      </c>
      <c r="I56" s="156">
        <v>0</v>
      </c>
      <c r="J56" s="156">
        <v>0</v>
      </c>
      <c r="K56" s="156">
        <f t="shared" si="11"/>
        <v>40</v>
      </c>
      <c r="L56" s="160">
        <f t="shared" si="12"/>
        <v>175.6</v>
      </c>
      <c r="M56" s="160">
        <f t="shared" si="12"/>
        <v>0</v>
      </c>
      <c r="N56" s="160">
        <f t="shared" si="12"/>
        <v>0</v>
      </c>
      <c r="O56" s="160">
        <f t="shared" si="12"/>
        <v>0</v>
      </c>
      <c r="P56" s="160">
        <f t="shared" si="13"/>
        <v>175.6</v>
      </c>
      <c r="Q56" s="161"/>
      <c r="R56" s="136"/>
      <c r="S56" s="108" t="str">
        <f t="shared" si="14"/>
        <v>Materiais e EPIs/EPCs (sob demanda)</v>
      </c>
      <c r="T56" s="110"/>
    </row>
    <row r="57" spans="1:20" ht="38.25">
      <c r="A57" s="155">
        <v>19</v>
      </c>
      <c r="B57" s="172" t="s">
        <v>183</v>
      </c>
      <c r="C57" s="173" t="s">
        <v>256</v>
      </c>
      <c r="D57" s="174" t="s">
        <v>257</v>
      </c>
      <c r="E57" s="156" t="s">
        <v>216</v>
      </c>
      <c r="F57" s="159">
        <v>4.32</v>
      </c>
      <c r="G57" s="156">
        <v>20</v>
      </c>
      <c r="H57" s="156">
        <v>0</v>
      </c>
      <c r="I57" s="156">
        <v>0</v>
      </c>
      <c r="J57" s="156">
        <v>0</v>
      </c>
      <c r="K57" s="156">
        <f t="shared" si="11"/>
        <v>20</v>
      </c>
      <c r="L57" s="160">
        <f t="shared" si="12"/>
        <v>86.4</v>
      </c>
      <c r="M57" s="160">
        <f t="shared" si="12"/>
        <v>0</v>
      </c>
      <c r="N57" s="160">
        <f t="shared" si="12"/>
        <v>0</v>
      </c>
      <c r="O57" s="160">
        <f t="shared" si="12"/>
        <v>0</v>
      </c>
      <c r="P57" s="160">
        <f t="shared" si="13"/>
        <v>86.4</v>
      </c>
      <c r="Q57" s="161"/>
      <c r="R57" s="136"/>
      <c r="S57" s="108" t="str">
        <f t="shared" si="14"/>
        <v>Materiais e EPIs/EPCs (sob demanda)</v>
      </c>
      <c r="T57" s="110"/>
    </row>
    <row r="58" spans="1:20" ht="38.25">
      <c r="A58" s="155">
        <v>20</v>
      </c>
      <c r="B58" s="172" t="s">
        <v>183</v>
      </c>
      <c r="C58" s="173" t="s">
        <v>258</v>
      </c>
      <c r="D58" s="174" t="s">
        <v>22</v>
      </c>
      <c r="E58" s="156" t="s">
        <v>216</v>
      </c>
      <c r="F58" s="159">
        <v>17.05</v>
      </c>
      <c r="G58" s="156">
        <v>120</v>
      </c>
      <c r="H58" s="156">
        <v>0</v>
      </c>
      <c r="I58" s="156">
        <v>0</v>
      </c>
      <c r="J58" s="156">
        <v>0</v>
      </c>
      <c r="K58" s="156">
        <f t="shared" si="11"/>
        <v>120</v>
      </c>
      <c r="L58" s="160">
        <f t="shared" si="12"/>
        <v>2046</v>
      </c>
      <c r="M58" s="160">
        <f t="shared" si="12"/>
        <v>0</v>
      </c>
      <c r="N58" s="160">
        <f t="shared" si="12"/>
        <v>0</v>
      </c>
      <c r="O58" s="160">
        <f t="shared" si="12"/>
        <v>0</v>
      </c>
      <c r="P58" s="160">
        <f t="shared" si="13"/>
        <v>2046</v>
      </c>
      <c r="Q58" s="161"/>
      <c r="R58" s="136"/>
      <c r="S58" s="108" t="str">
        <f t="shared" si="14"/>
        <v>Materiais e EPIs/EPCs (sob demanda)</v>
      </c>
      <c r="T58" s="110"/>
    </row>
    <row r="59" spans="1:20" ht="76.5">
      <c r="A59" s="155">
        <v>21</v>
      </c>
      <c r="B59" s="172" t="s">
        <v>183</v>
      </c>
      <c r="C59" s="173" t="s">
        <v>259</v>
      </c>
      <c r="D59" s="174" t="s">
        <v>260</v>
      </c>
      <c r="E59" s="156" t="s">
        <v>216</v>
      </c>
      <c r="F59" s="159">
        <v>18.86</v>
      </c>
      <c r="G59" s="156">
        <v>40</v>
      </c>
      <c r="H59" s="156">
        <v>0</v>
      </c>
      <c r="I59" s="156">
        <v>0</v>
      </c>
      <c r="J59" s="156">
        <v>0</v>
      </c>
      <c r="K59" s="156">
        <f t="shared" si="11"/>
        <v>40</v>
      </c>
      <c r="L59" s="160">
        <f t="shared" si="12"/>
        <v>754.4</v>
      </c>
      <c r="M59" s="160">
        <f t="shared" si="12"/>
        <v>0</v>
      </c>
      <c r="N59" s="160">
        <f t="shared" si="12"/>
        <v>0</v>
      </c>
      <c r="O59" s="160">
        <f t="shared" si="12"/>
        <v>0</v>
      </c>
      <c r="P59" s="160">
        <f t="shared" si="13"/>
        <v>754.4</v>
      </c>
      <c r="Q59" s="161"/>
      <c r="R59" s="136"/>
      <c r="S59" s="108" t="str">
        <f t="shared" si="14"/>
        <v>Materiais e EPIs/EPCs (sob demanda)</v>
      </c>
      <c r="T59" s="110"/>
    </row>
    <row r="60" spans="1:20" ht="38.25">
      <c r="A60" s="155">
        <v>22</v>
      </c>
      <c r="B60" s="172" t="s">
        <v>183</v>
      </c>
      <c r="C60" s="173" t="s">
        <v>261</v>
      </c>
      <c r="D60" s="174" t="s">
        <v>260</v>
      </c>
      <c r="E60" s="156" t="s">
        <v>216</v>
      </c>
      <c r="F60" s="159">
        <v>1.1299999999999999</v>
      </c>
      <c r="G60" s="156">
        <v>1080</v>
      </c>
      <c r="H60" s="156">
        <v>0</v>
      </c>
      <c r="I60" s="156">
        <v>0</v>
      </c>
      <c r="J60" s="156">
        <v>0</v>
      </c>
      <c r="K60" s="156">
        <f t="shared" si="11"/>
        <v>1080</v>
      </c>
      <c r="L60" s="160">
        <f t="shared" si="12"/>
        <v>1220.3999999999999</v>
      </c>
      <c r="M60" s="160">
        <f t="shared" si="12"/>
        <v>0</v>
      </c>
      <c r="N60" s="160">
        <f t="shared" si="12"/>
        <v>0</v>
      </c>
      <c r="O60" s="160">
        <f t="shared" si="12"/>
        <v>0</v>
      </c>
      <c r="P60" s="160">
        <f t="shared" si="13"/>
        <v>1220.3999999999999</v>
      </c>
      <c r="Q60" s="161"/>
      <c r="R60" s="136"/>
      <c r="S60" s="108" t="str">
        <f t="shared" si="14"/>
        <v>Materiais e EPIs/EPCs (sob demanda)</v>
      </c>
      <c r="T60" s="110"/>
    </row>
    <row r="61" spans="1:20" ht="38.25">
      <c r="A61" s="155">
        <v>23</v>
      </c>
      <c r="B61" s="172" t="s">
        <v>183</v>
      </c>
      <c r="C61" s="173" t="s">
        <v>262</v>
      </c>
      <c r="D61" s="174" t="s">
        <v>260</v>
      </c>
      <c r="E61" s="156" t="s">
        <v>263</v>
      </c>
      <c r="F61" s="159">
        <v>2.66</v>
      </c>
      <c r="G61" s="156">
        <v>240</v>
      </c>
      <c r="H61" s="156">
        <v>0</v>
      </c>
      <c r="I61" s="156">
        <v>0</v>
      </c>
      <c r="J61" s="156">
        <v>0</v>
      </c>
      <c r="K61" s="156">
        <f t="shared" si="11"/>
        <v>240</v>
      </c>
      <c r="L61" s="160">
        <f t="shared" si="12"/>
        <v>638.40000000000009</v>
      </c>
      <c r="M61" s="160">
        <f t="shared" si="12"/>
        <v>0</v>
      </c>
      <c r="N61" s="160">
        <f t="shared" si="12"/>
        <v>0</v>
      </c>
      <c r="O61" s="160">
        <f t="shared" si="12"/>
        <v>0</v>
      </c>
      <c r="P61" s="160">
        <f t="shared" si="13"/>
        <v>638.40000000000009</v>
      </c>
      <c r="Q61" s="161"/>
      <c r="R61" s="136"/>
      <c r="S61" s="108" t="str">
        <f t="shared" si="14"/>
        <v>Materiais e EPIs/EPCs (sob demanda)</v>
      </c>
      <c r="T61" s="110"/>
    </row>
    <row r="62" spans="1:20" ht="38.25">
      <c r="A62" s="155">
        <v>24</v>
      </c>
      <c r="B62" s="172" t="s">
        <v>183</v>
      </c>
      <c r="C62" s="173" t="s">
        <v>264</v>
      </c>
      <c r="D62" s="174" t="s">
        <v>265</v>
      </c>
      <c r="E62" s="156" t="s">
        <v>216</v>
      </c>
      <c r="F62" s="159">
        <v>13.97</v>
      </c>
      <c r="G62" s="156">
        <v>144</v>
      </c>
      <c r="H62" s="156">
        <v>0</v>
      </c>
      <c r="I62" s="156">
        <v>0</v>
      </c>
      <c r="J62" s="156">
        <v>0</v>
      </c>
      <c r="K62" s="156">
        <f t="shared" si="11"/>
        <v>144</v>
      </c>
      <c r="L62" s="160">
        <f t="shared" si="12"/>
        <v>2011.68</v>
      </c>
      <c r="M62" s="160">
        <f t="shared" si="12"/>
        <v>0</v>
      </c>
      <c r="N62" s="160">
        <f t="shared" si="12"/>
        <v>0</v>
      </c>
      <c r="O62" s="160">
        <f t="shared" si="12"/>
        <v>0</v>
      </c>
      <c r="P62" s="160">
        <f t="shared" si="13"/>
        <v>2011.68</v>
      </c>
      <c r="Q62" s="161"/>
      <c r="R62" s="136"/>
      <c r="S62" s="108" t="str">
        <f t="shared" si="14"/>
        <v>Materiais e EPIs/EPCs (sob demanda)</v>
      </c>
      <c r="T62" s="110"/>
    </row>
    <row r="63" spans="1:20" ht="38.25">
      <c r="A63" s="155">
        <v>25</v>
      </c>
      <c r="B63" s="172" t="s">
        <v>183</v>
      </c>
      <c r="C63" s="173" t="s">
        <v>266</v>
      </c>
      <c r="D63" s="174" t="s">
        <v>267</v>
      </c>
      <c r="E63" s="156" t="s">
        <v>224</v>
      </c>
      <c r="F63" s="159">
        <v>7.39</v>
      </c>
      <c r="G63" s="156">
        <v>144</v>
      </c>
      <c r="H63" s="156">
        <v>0</v>
      </c>
      <c r="I63" s="156">
        <v>0</v>
      </c>
      <c r="J63" s="156">
        <v>0</v>
      </c>
      <c r="K63" s="156">
        <f t="shared" si="11"/>
        <v>144</v>
      </c>
      <c r="L63" s="160">
        <f t="shared" si="12"/>
        <v>1064.1599999999999</v>
      </c>
      <c r="M63" s="160">
        <f t="shared" si="12"/>
        <v>0</v>
      </c>
      <c r="N63" s="160">
        <f t="shared" si="12"/>
        <v>0</v>
      </c>
      <c r="O63" s="160">
        <f t="shared" si="12"/>
        <v>0</v>
      </c>
      <c r="P63" s="160">
        <f t="shared" si="13"/>
        <v>1064.1599999999999</v>
      </c>
      <c r="Q63" s="161"/>
      <c r="R63" s="136"/>
      <c r="S63" s="108" t="str">
        <f t="shared" si="14"/>
        <v>Materiais e EPIs/EPCs (sob demanda)</v>
      </c>
      <c r="T63" s="110"/>
    </row>
    <row r="64" spans="1:20" ht="38.25">
      <c r="A64" s="155">
        <v>26</v>
      </c>
      <c r="B64" s="172" t="s">
        <v>183</v>
      </c>
      <c r="C64" s="173" t="s">
        <v>268</v>
      </c>
      <c r="D64" s="174" t="s">
        <v>269</v>
      </c>
      <c r="E64" s="156" t="s">
        <v>216</v>
      </c>
      <c r="F64" s="159">
        <v>12.16</v>
      </c>
      <c r="G64" s="156">
        <v>20</v>
      </c>
      <c r="H64" s="156">
        <v>0</v>
      </c>
      <c r="I64" s="156">
        <v>0</v>
      </c>
      <c r="J64" s="156">
        <v>0</v>
      </c>
      <c r="K64" s="156">
        <f t="shared" si="11"/>
        <v>20</v>
      </c>
      <c r="L64" s="160">
        <f t="shared" si="12"/>
        <v>243.2</v>
      </c>
      <c r="M64" s="160">
        <f t="shared" si="12"/>
        <v>0</v>
      </c>
      <c r="N64" s="160">
        <f t="shared" si="12"/>
        <v>0</v>
      </c>
      <c r="O64" s="160">
        <f t="shared" si="12"/>
        <v>0</v>
      </c>
      <c r="P64" s="160">
        <f t="shared" si="13"/>
        <v>243.2</v>
      </c>
      <c r="Q64" s="161"/>
      <c r="R64" s="136"/>
      <c r="S64" s="108" t="str">
        <f t="shared" si="14"/>
        <v>Materiais e EPIs/EPCs (sob demanda)</v>
      </c>
      <c r="T64" s="110"/>
    </row>
    <row r="65" spans="1:20" ht="38.25">
      <c r="A65" s="155">
        <v>27</v>
      </c>
      <c r="B65" s="172" t="s">
        <v>183</v>
      </c>
      <c r="C65" s="173" t="s">
        <v>270</v>
      </c>
      <c r="D65" s="174" t="s">
        <v>271</v>
      </c>
      <c r="E65" s="156" t="s">
        <v>216</v>
      </c>
      <c r="F65" s="159">
        <v>33.81</v>
      </c>
      <c r="G65" s="156">
        <v>10</v>
      </c>
      <c r="H65" s="156">
        <v>0</v>
      </c>
      <c r="I65" s="156">
        <v>0</v>
      </c>
      <c r="J65" s="156">
        <v>0</v>
      </c>
      <c r="K65" s="156">
        <f t="shared" si="11"/>
        <v>10</v>
      </c>
      <c r="L65" s="160">
        <f t="shared" si="12"/>
        <v>338.1</v>
      </c>
      <c r="M65" s="160">
        <f t="shared" si="12"/>
        <v>0</v>
      </c>
      <c r="N65" s="160">
        <f t="shared" si="12"/>
        <v>0</v>
      </c>
      <c r="O65" s="160">
        <f t="shared" si="12"/>
        <v>0</v>
      </c>
      <c r="P65" s="160">
        <f t="shared" si="13"/>
        <v>338.1</v>
      </c>
      <c r="Q65" s="161"/>
      <c r="R65" s="136"/>
      <c r="S65" s="108" t="str">
        <f t="shared" si="14"/>
        <v>Materiais e EPIs/EPCs (sob demanda)</v>
      </c>
      <c r="T65" s="110"/>
    </row>
    <row r="66" spans="1:20" ht="38.25">
      <c r="A66" s="155">
        <v>28</v>
      </c>
      <c r="B66" s="172" t="s">
        <v>183</v>
      </c>
      <c r="C66" s="173" t="s">
        <v>272</v>
      </c>
      <c r="D66" s="174" t="s">
        <v>22</v>
      </c>
      <c r="E66" s="156" t="s">
        <v>216</v>
      </c>
      <c r="F66" s="159">
        <v>36.6</v>
      </c>
      <c r="G66" s="156">
        <v>40</v>
      </c>
      <c r="H66" s="156">
        <v>0</v>
      </c>
      <c r="I66" s="156">
        <v>0</v>
      </c>
      <c r="J66" s="156">
        <v>0</v>
      </c>
      <c r="K66" s="156">
        <f t="shared" si="11"/>
        <v>40</v>
      </c>
      <c r="L66" s="160">
        <f t="shared" si="12"/>
        <v>1464</v>
      </c>
      <c r="M66" s="160">
        <f t="shared" si="12"/>
        <v>0</v>
      </c>
      <c r="N66" s="160">
        <f t="shared" si="12"/>
        <v>0</v>
      </c>
      <c r="O66" s="160">
        <f t="shared" si="12"/>
        <v>0</v>
      </c>
      <c r="P66" s="160">
        <f t="shared" si="13"/>
        <v>1464</v>
      </c>
      <c r="Q66" s="161"/>
      <c r="R66" s="136"/>
      <c r="S66" s="108" t="str">
        <f t="shared" si="14"/>
        <v>Materiais e EPIs/EPCs (sob demanda)</v>
      </c>
      <c r="T66" s="110"/>
    </row>
    <row r="67" spans="1:20" ht="38.25">
      <c r="A67" s="155">
        <v>29</v>
      </c>
      <c r="B67" s="172" t="s">
        <v>183</v>
      </c>
      <c r="C67" s="173" t="s">
        <v>273</v>
      </c>
      <c r="D67" s="174" t="s">
        <v>274</v>
      </c>
      <c r="E67" s="156" t="s">
        <v>216</v>
      </c>
      <c r="F67" s="159">
        <v>35.299999999999997</v>
      </c>
      <c r="G67" s="156">
        <v>48</v>
      </c>
      <c r="H67" s="156">
        <v>0</v>
      </c>
      <c r="I67" s="156">
        <v>0</v>
      </c>
      <c r="J67" s="156">
        <v>0</v>
      </c>
      <c r="K67" s="156">
        <f t="shared" si="11"/>
        <v>48</v>
      </c>
      <c r="L67" s="160">
        <f t="shared" si="12"/>
        <v>1694.3999999999999</v>
      </c>
      <c r="M67" s="160">
        <f t="shared" si="12"/>
        <v>0</v>
      </c>
      <c r="N67" s="160">
        <f t="shared" si="12"/>
        <v>0</v>
      </c>
      <c r="O67" s="160">
        <f t="shared" si="12"/>
        <v>0</v>
      </c>
      <c r="P67" s="160">
        <f t="shared" si="13"/>
        <v>1694.3999999999999</v>
      </c>
      <c r="Q67" s="161"/>
      <c r="R67" s="136"/>
      <c r="S67" s="108" t="str">
        <f t="shared" si="14"/>
        <v>Materiais e EPIs/EPCs (sob demanda)</v>
      </c>
      <c r="T67" s="110"/>
    </row>
    <row r="68" spans="1:20" ht="38.25">
      <c r="A68" s="155">
        <v>30</v>
      </c>
      <c r="B68" s="172" t="s">
        <v>183</v>
      </c>
      <c r="C68" s="173" t="s">
        <v>275</v>
      </c>
      <c r="D68" s="174" t="s">
        <v>22</v>
      </c>
      <c r="E68" s="156" t="s">
        <v>216</v>
      </c>
      <c r="F68" s="159">
        <v>6.72</v>
      </c>
      <c r="G68" s="156">
        <v>180</v>
      </c>
      <c r="H68" s="156">
        <v>0</v>
      </c>
      <c r="I68" s="156">
        <v>0</v>
      </c>
      <c r="J68" s="156">
        <v>0</v>
      </c>
      <c r="K68" s="156">
        <f t="shared" si="11"/>
        <v>180</v>
      </c>
      <c r="L68" s="160">
        <f t="shared" si="12"/>
        <v>1209.5999999999999</v>
      </c>
      <c r="M68" s="160">
        <f t="shared" si="12"/>
        <v>0</v>
      </c>
      <c r="N68" s="160">
        <f t="shared" si="12"/>
        <v>0</v>
      </c>
      <c r="O68" s="160">
        <f t="shared" si="12"/>
        <v>0</v>
      </c>
      <c r="P68" s="160">
        <f t="shared" si="13"/>
        <v>1209.5999999999999</v>
      </c>
      <c r="Q68" s="161"/>
      <c r="R68" s="136"/>
      <c r="S68" s="108" t="str">
        <f t="shared" si="14"/>
        <v>Materiais e EPIs/EPCs (sob demanda)</v>
      </c>
      <c r="T68" s="110"/>
    </row>
    <row r="69" spans="1:20" ht="51">
      <c r="A69" s="155">
        <v>31</v>
      </c>
      <c r="B69" s="172" t="s">
        <v>183</v>
      </c>
      <c r="C69" s="173" t="s">
        <v>276</v>
      </c>
      <c r="D69" s="174" t="s">
        <v>277</v>
      </c>
      <c r="E69" s="156" t="s">
        <v>231</v>
      </c>
      <c r="F69" s="159">
        <v>12.4</v>
      </c>
      <c r="G69" s="156">
        <v>144</v>
      </c>
      <c r="H69" s="156">
        <v>0</v>
      </c>
      <c r="I69" s="156">
        <v>0</v>
      </c>
      <c r="J69" s="156">
        <v>0</v>
      </c>
      <c r="K69" s="156">
        <f t="shared" si="11"/>
        <v>144</v>
      </c>
      <c r="L69" s="160">
        <f t="shared" si="12"/>
        <v>1785.6000000000001</v>
      </c>
      <c r="M69" s="160">
        <f t="shared" si="12"/>
        <v>0</v>
      </c>
      <c r="N69" s="160">
        <f t="shared" si="12"/>
        <v>0</v>
      </c>
      <c r="O69" s="160">
        <f t="shared" si="12"/>
        <v>0</v>
      </c>
      <c r="P69" s="160">
        <f t="shared" si="13"/>
        <v>1785.6000000000001</v>
      </c>
      <c r="Q69" s="161"/>
      <c r="R69" s="136"/>
      <c r="S69" s="108" t="str">
        <f t="shared" si="14"/>
        <v>Materiais e EPIs/EPCs (sob demanda)</v>
      </c>
      <c r="T69" s="110"/>
    </row>
    <row r="70" spans="1:20" ht="51">
      <c r="A70" s="155">
        <v>32</v>
      </c>
      <c r="B70" s="172" t="s">
        <v>183</v>
      </c>
      <c r="C70" s="173" t="s">
        <v>278</v>
      </c>
      <c r="D70" s="174" t="s">
        <v>277</v>
      </c>
      <c r="E70" s="156" t="s">
        <v>216</v>
      </c>
      <c r="F70" s="159">
        <v>15.44</v>
      </c>
      <c r="G70" s="156">
        <v>32</v>
      </c>
      <c r="H70" s="156">
        <v>0</v>
      </c>
      <c r="I70" s="156">
        <v>0</v>
      </c>
      <c r="J70" s="156">
        <v>0</v>
      </c>
      <c r="K70" s="156">
        <f t="shared" si="11"/>
        <v>32</v>
      </c>
      <c r="L70" s="160">
        <f t="shared" si="12"/>
        <v>494.08</v>
      </c>
      <c r="M70" s="160">
        <f t="shared" si="12"/>
        <v>0</v>
      </c>
      <c r="N70" s="160">
        <f t="shared" si="12"/>
        <v>0</v>
      </c>
      <c r="O70" s="160">
        <f t="shared" si="12"/>
        <v>0</v>
      </c>
      <c r="P70" s="160">
        <f t="shared" si="13"/>
        <v>494.08</v>
      </c>
      <c r="Q70" s="161"/>
      <c r="R70" s="136"/>
      <c r="S70" s="108" t="str">
        <f t="shared" si="14"/>
        <v>Materiais e EPIs/EPCs (sob demanda)</v>
      </c>
      <c r="T70" s="110"/>
    </row>
    <row r="71" spans="1:20" ht="51">
      <c r="A71" s="155">
        <v>33</v>
      </c>
      <c r="B71" s="172" t="s">
        <v>183</v>
      </c>
      <c r="C71" s="173" t="s">
        <v>279</v>
      </c>
      <c r="D71" s="174" t="s">
        <v>277</v>
      </c>
      <c r="E71" s="156" t="s">
        <v>231</v>
      </c>
      <c r="F71" s="159">
        <v>40.46</v>
      </c>
      <c r="G71" s="156">
        <v>12</v>
      </c>
      <c r="H71" s="156">
        <v>0</v>
      </c>
      <c r="I71" s="156">
        <v>0</v>
      </c>
      <c r="J71" s="156">
        <v>0</v>
      </c>
      <c r="K71" s="156">
        <f t="shared" si="11"/>
        <v>12</v>
      </c>
      <c r="L71" s="160">
        <f t="shared" si="12"/>
        <v>485.52</v>
      </c>
      <c r="M71" s="160">
        <f t="shared" si="12"/>
        <v>0</v>
      </c>
      <c r="N71" s="160">
        <f t="shared" si="12"/>
        <v>0</v>
      </c>
      <c r="O71" s="160">
        <f t="shared" si="12"/>
        <v>0</v>
      </c>
      <c r="P71" s="160">
        <f t="shared" si="13"/>
        <v>485.52</v>
      </c>
      <c r="Q71" s="161"/>
      <c r="R71" s="136"/>
      <c r="S71" s="108" t="str">
        <f t="shared" si="14"/>
        <v>Materiais e EPIs/EPCs (sob demanda)</v>
      </c>
      <c r="T71" s="110"/>
    </row>
    <row r="72" spans="1:20" ht="51">
      <c r="A72" s="155">
        <v>34</v>
      </c>
      <c r="B72" s="172" t="s">
        <v>183</v>
      </c>
      <c r="C72" s="173" t="s">
        <v>280</v>
      </c>
      <c r="D72" s="174" t="s">
        <v>277</v>
      </c>
      <c r="E72" s="156" t="s">
        <v>231</v>
      </c>
      <c r="F72" s="159">
        <v>5.55</v>
      </c>
      <c r="G72" s="156">
        <v>240</v>
      </c>
      <c r="H72" s="156">
        <v>0</v>
      </c>
      <c r="I72" s="156">
        <v>0</v>
      </c>
      <c r="J72" s="156">
        <v>0</v>
      </c>
      <c r="K72" s="156">
        <f t="shared" si="11"/>
        <v>240</v>
      </c>
      <c r="L72" s="160">
        <f t="shared" si="12"/>
        <v>1332</v>
      </c>
      <c r="M72" s="160">
        <f t="shared" si="12"/>
        <v>0</v>
      </c>
      <c r="N72" s="160">
        <f t="shared" si="12"/>
        <v>0</v>
      </c>
      <c r="O72" s="160">
        <f t="shared" si="12"/>
        <v>0</v>
      </c>
      <c r="P72" s="160">
        <f t="shared" si="13"/>
        <v>1332</v>
      </c>
      <c r="Q72" s="161"/>
      <c r="R72" s="136"/>
      <c r="S72" s="108" t="str">
        <f t="shared" si="14"/>
        <v>Materiais e EPIs/EPCs (sob demanda)</v>
      </c>
      <c r="T72" s="110"/>
    </row>
    <row r="73" spans="1:20" ht="38.25">
      <c r="A73" s="155">
        <v>35</v>
      </c>
      <c r="B73" s="172" t="s">
        <v>183</v>
      </c>
      <c r="C73" s="173" t="s">
        <v>281</v>
      </c>
      <c r="D73" s="174" t="s">
        <v>282</v>
      </c>
      <c r="E73" s="156" t="s">
        <v>216</v>
      </c>
      <c r="F73" s="159">
        <v>5.12</v>
      </c>
      <c r="G73" s="156">
        <v>60</v>
      </c>
      <c r="H73" s="156">
        <v>0</v>
      </c>
      <c r="I73" s="156">
        <v>0</v>
      </c>
      <c r="J73" s="156">
        <v>0</v>
      </c>
      <c r="K73" s="156">
        <f t="shared" si="11"/>
        <v>60</v>
      </c>
      <c r="L73" s="160">
        <f t="shared" si="12"/>
        <v>307.2</v>
      </c>
      <c r="M73" s="160">
        <f t="shared" si="12"/>
        <v>0</v>
      </c>
      <c r="N73" s="160">
        <f t="shared" si="12"/>
        <v>0</v>
      </c>
      <c r="O73" s="160">
        <f t="shared" si="12"/>
        <v>0</v>
      </c>
      <c r="P73" s="160">
        <f t="shared" si="13"/>
        <v>307.2</v>
      </c>
      <c r="Q73" s="161"/>
      <c r="R73" s="136"/>
      <c r="S73" s="108" t="str">
        <f t="shared" si="14"/>
        <v>Materiais e EPIs/EPCs (sob demanda)</v>
      </c>
      <c r="T73" s="110"/>
    </row>
    <row r="74" spans="1:20" ht="51">
      <c r="A74" s="155">
        <v>36</v>
      </c>
      <c r="B74" s="172" t="s">
        <v>183</v>
      </c>
      <c r="C74" s="173" t="s">
        <v>283</v>
      </c>
      <c r="D74" s="174" t="s">
        <v>277</v>
      </c>
      <c r="E74" s="156" t="s">
        <v>231</v>
      </c>
      <c r="F74" s="159">
        <v>231.64</v>
      </c>
      <c r="G74" s="156">
        <v>144</v>
      </c>
      <c r="H74" s="156">
        <v>0</v>
      </c>
      <c r="I74" s="156">
        <v>0</v>
      </c>
      <c r="J74" s="156">
        <v>0</v>
      </c>
      <c r="K74" s="156">
        <f t="shared" si="11"/>
        <v>144</v>
      </c>
      <c r="L74" s="160">
        <f t="shared" si="12"/>
        <v>33356.159999999996</v>
      </c>
      <c r="M74" s="160">
        <f t="shared" si="12"/>
        <v>0</v>
      </c>
      <c r="N74" s="160">
        <f t="shared" si="12"/>
        <v>0</v>
      </c>
      <c r="O74" s="160">
        <f t="shared" si="12"/>
        <v>0</v>
      </c>
      <c r="P74" s="160">
        <f t="shared" si="13"/>
        <v>33356.159999999996</v>
      </c>
      <c r="Q74" s="161"/>
      <c r="R74" s="136"/>
      <c r="S74" s="108" t="str">
        <f t="shared" si="14"/>
        <v>Materiais e EPIs/EPCs (sob demanda)</v>
      </c>
      <c r="T74" s="110"/>
    </row>
    <row r="75" spans="1:20" ht="76.5">
      <c r="A75" s="155">
        <v>37</v>
      </c>
      <c r="B75" s="172" t="s">
        <v>183</v>
      </c>
      <c r="C75" s="173" t="s">
        <v>284</v>
      </c>
      <c r="D75" s="174" t="s">
        <v>22</v>
      </c>
      <c r="E75" s="156" t="s">
        <v>216</v>
      </c>
      <c r="F75" s="159">
        <v>37.93</v>
      </c>
      <c r="G75" s="156">
        <v>144</v>
      </c>
      <c r="H75" s="156">
        <v>0</v>
      </c>
      <c r="I75" s="156">
        <v>0</v>
      </c>
      <c r="J75" s="156">
        <v>0</v>
      </c>
      <c r="K75" s="156">
        <f t="shared" si="11"/>
        <v>144</v>
      </c>
      <c r="L75" s="160">
        <f t="shared" si="12"/>
        <v>5461.92</v>
      </c>
      <c r="M75" s="160">
        <f t="shared" si="12"/>
        <v>0</v>
      </c>
      <c r="N75" s="160">
        <f t="shared" si="12"/>
        <v>0</v>
      </c>
      <c r="O75" s="160">
        <f t="shared" si="12"/>
        <v>0</v>
      </c>
      <c r="P75" s="160">
        <f t="shared" si="13"/>
        <v>5461.92</v>
      </c>
      <c r="Q75" s="161"/>
      <c r="R75" s="136"/>
      <c r="S75" s="108" t="str">
        <f t="shared" si="14"/>
        <v>Materiais e EPIs/EPCs (sob demanda)</v>
      </c>
      <c r="T75" s="110"/>
    </row>
    <row r="76" spans="1:20" ht="76.5">
      <c r="A76" s="155">
        <v>38</v>
      </c>
      <c r="B76" s="172" t="s">
        <v>183</v>
      </c>
      <c r="C76" s="173" t="s">
        <v>285</v>
      </c>
      <c r="D76" s="174" t="s">
        <v>286</v>
      </c>
      <c r="E76" s="156" t="s">
        <v>216</v>
      </c>
      <c r="F76" s="159">
        <v>12.66</v>
      </c>
      <c r="G76" s="156">
        <v>840</v>
      </c>
      <c r="H76" s="156">
        <v>0</v>
      </c>
      <c r="I76" s="156">
        <v>0</v>
      </c>
      <c r="J76" s="156">
        <v>0</v>
      </c>
      <c r="K76" s="156">
        <f t="shared" si="11"/>
        <v>840</v>
      </c>
      <c r="L76" s="160">
        <f t="shared" si="12"/>
        <v>10634.4</v>
      </c>
      <c r="M76" s="160">
        <f t="shared" si="12"/>
        <v>0</v>
      </c>
      <c r="N76" s="160">
        <f t="shared" si="12"/>
        <v>0</v>
      </c>
      <c r="O76" s="160">
        <f t="shared" si="12"/>
        <v>0</v>
      </c>
      <c r="P76" s="160">
        <f t="shared" si="13"/>
        <v>10634.4</v>
      </c>
      <c r="Q76" s="161"/>
      <c r="R76" s="136"/>
      <c r="S76" s="108" t="str">
        <f t="shared" si="14"/>
        <v>Materiais e EPIs/EPCs (sob demanda)</v>
      </c>
      <c r="T76" s="110"/>
    </row>
    <row r="77" spans="1:20" ht="38.25">
      <c r="A77" s="155">
        <v>39</v>
      </c>
      <c r="B77" s="172" t="s">
        <v>183</v>
      </c>
      <c r="C77" s="173" t="s">
        <v>287</v>
      </c>
      <c r="D77" s="174" t="s">
        <v>226</v>
      </c>
      <c r="E77" s="156" t="s">
        <v>216</v>
      </c>
      <c r="F77" s="159">
        <v>6.14</v>
      </c>
      <c r="G77" s="156">
        <v>144</v>
      </c>
      <c r="H77" s="156">
        <v>0</v>
      </c>
      <c r="I77" s="156">
        <v>0</v>
      </c>
      <c r="J77" s="156">
        <v>0</v>
      </c>
      <c r="K77" s="156">
        <f t="shared" si="11"/>
        <v>144</v>
      </c>
      <c r="L77" s="160">
        <f t="shared" si="12"/>
        <v>884.16</v>
      </c>
      <c r="M77" s="160">
        <f t="shared" si="12"/>
        <v>0</v>
      </c>
      <c r="N77" s="160">
        <f t="shared" si="12"/>
        <v>0</v>
      </c>
      <c r="O77" s="160">
        <f t="shared" si="12"/>
        <v>0</v>
      </c>
      <c r="P77" s="160">
        <f t="shared" si="13"/>
        <v>884.16</v>
      </c>
      <c r="Q77" s="161"/>
      <c r="R77" s="136"/>
      <c r="S77" s="108" t="str">
        <f t="shared" si="14"/>
        <v>Materiais e EPIs/EPCs (sob demanda)</v>
      </c>
      <c r="T77" s="110"/>
    </row>
    <row r="78" spans="1:20" ht="38.25">
      <c r="A78" s="155">
        <v>40</v>
      </c>
      <c r="B78" s="172" t="s">
        <v>183</v>
      </c>
      <c r="C78" s="173" t="s">
        <v>288</v>
      </c>
      <c r="D78" s="174" t="s">
        <v>226</v>
      </c>
      <c r="E78" s="156" t="s">
        <v>216</v>
      </c>
      <c r="F78" s="159">
        <v>46.33</v>
      </c>
      <c r="G78" s="156">
        <v>10</v>
      </c>
      <c r="H78" s="156">
        <v>0</v>
      </c>
      <c r="I78" s="156">
        <v>0</v>
      </c>
      <c r="J78" s="156">
        <v>0</v>
      </c>
      <c r="K78" s="156">
        <f t="shared" si="11"/>
        <v>10</v>
      </c>
      <c r="L78" s="160">
        <f t="shared" si="12"/>
        <v>463.29999999999995</v>
      </c>
      <c r="M78" s="160">
        <f t="shared" si="12"/>
        <v>0</v>
      </c>
      <c r="N78" s="160">
        <f t="shared" si="12"/>
        <v>0</v>
      </c>
      <c r="O78" s="160">
        <f t="shared" si="12"/>
        <v>0</v>
      </c>
      <c r="P78" s="160">
        <f t="shared" si="13"/>
        <v>463.29999999999995</v>
      </c>
      <c r="Q78" s="161"/>
      <c r="R78" s="136"/>
      <c r="S78" s="108" t="str">
        <f t="shared" si="14"/>
        <v>Materiais e EPIs/EPCs (sob demanda)</v>
      </c>
      <c r="T78" s="110"/>
    </row>
    <row r="79" spans="1:20" ht="38.25">
      <c r="A79" s="155">
        <v>41</v>
      </c>
      <c r="B79" s="172" t="s">
        <v>183</v>
      </c>
      <c r="C79" s="173" t="s">
        <v>289</v>
      </c>
      <c r="D79" s="174" t="s">
        <v>226</v>
      </c>
      <c r="E79" s="156" t="s">
        <v>216</v>
      </c>
      <c r="F79" s="159">
        <v>15.19</v>
      </c>
      <c r="G79" s="156">
        <v>144</v>
      </c>
      <c r="H79" s="156">
        <v>0</v>
      </c>
      <c r="I79" s="156">
        <v>0</v>
      </c>
      <c r="J79" s="156">
        <v>0</v>
      </c>
      <c r="K79" s="156">
        <f t="shared" si="11"/>
        <v>144</v>
      </c>
      <c r="L79" s="160">
        <f t="shared" si="12"/>
        <v>2187.36</v>
      </c>
      <c r="M79" s="160">
        <f t="shared" si="12"/>
        <v>0</v>
      </c>
      <c r="N79" s="160">
        <f t="shared" si="12"/>
        <v>0</v>
      </c>
      <c r="O79" s="160">
        <f t="shared" si="12"/>
        <v>0</v>
      </c>
      <c r="P79" s="160">
        <f t="shared" si="13"/>
        <v>2187.36</v>
      </c>
      <c r="Q79" s="161"/>
      <c r="R79" s="136"/>
      <c r="S79" s="108" t="str">
        <f t="shared" si="14"/>
        <v>Materiais e EPIs/EPCs (sob demanda)</v>
      </c>
      <c r="T79" s="110"/>
    </row>
    <row r="80" spans="1:20" ht="38.25">
      <c r="A80" s="155">
        <v>42</v>
      </c>
      <c r="B80" s="172" t="s">
        <v>183</v>
      </c>
      <c r="C80" s="173" t="s">
        <v>290</v>
      </c>
      <c r="D80" s="174" t="s">
        <v>291</v>
      </c>
      <c r="E80" s="156" t="s">
        <v>216</v>
      </c>
      <c r="F80" s="159">
        <v>43.73</v>
      </c>
      <c r="G80" s="156">
        <v>48</v>
      </c>
      <c r="H80" s="156">
        <v>0</v>
      </c>
      <c r="I80" s="156">
        <v>0</v>
      </c>
      <c r="J80" s="156">
        <v>0</v>
      </c>
      <c r="K80" s="156">
        <f t="shared" si="11"/>
        <v>48</v>
      </c>
      <c r="L80" s="160">
        <f t="shared" si="12"/>
        <v>2099.04</v>
      </c>
      <c r="M80" s="160">
        <f t="shared" si="12"/>
        <v>0</v>
      </c>
      <c r="N80" s="160">
        <f t="shared" si="12"/>
        <v>0</v>
      </c>
      <c r="O80" s="160">
        <f t="shared" si="12"/>
        <v>0</v>
      </c>
      <c r="P80" s="160">
        <f t="shared" si="13"/>
        <v>2099.04</v>
      </c>
      <c r="Q80" s="161"/>
      <c r="R80" s="136"/>
      <c r="S80" s="108" t="str">
        <f t="shared" si="14"/>
        <v>Materiais e EPIs/EPCs (sob demanda)</v>
      </c>
      <c r="T80" s="110"/>
    </row>
    <row r="81" spans="1:20" ht="38.25">
      <c r="A81" s="155">
        <v>43</v>
      </c>
      <c r="B81" s="172" t="s">
        <v>183</v>
      </c>
      <c r="C81" s="173" t="s">
        <v>292</v>
      </c>
      <c r="D81" s="174" t="s">
        <v>293</v>
      </c>
      <c r="E81" s="156" t="s">
        <v>216</v>
      </c>
      <c r="F81" s="159">
        <v>8.59</v>
      </c>
      <c r="G81" s="156">
        <v>48</v>
      </c>
      <c r="H81" s="156">
        <v>0</v>
      </c>
      <c r="I81" s="156">
        <v>0</v>
      </c>
      <c r="J81" s="156">
        <v>0</v>
      </c>
      <c r="K81" s="156">
        <f t="shared" si="11"/>
        <v>48</v>
      </c>
      <c r="L81" s="160">
        <f t="shared" si="12"/>
        <v>412.32</v>
      </c>
      <c r="M81" s="160">
        <f t="shared" si="12"/>
        <v>0</v>
      </c>
      <c r="N81" s="160">
        <f t="shared" si="12"/>
        <v>0</v>
      </c>
      <c r="O81" s="160">
        <f t="shared" si="12"/>
        <v>0</v>
      </c>
      <c r="P81" s="160">
        <f t="shared" si="13"/>
        <v>412.32</v>
      </c>
      <c r="Q81" s="161"/>
      <c r="R81" s="136"/>
      <c r="S81" s="108" t="str">
        <f t="shared" si="14"/>
        <v>Materiais e EPIs/EPCs (sob demanda)</v>
      </c>
      <c r="T81" s="110"/>
    </row>
    <row r="82" spans="1:20" ht="38.25">
      <c r="A82" s="155">
        <v>44</v>
      </c>
      <c r="B82" s="172" t="s">
        <v>183</v>
      </c>
      <c r="C82" s="173" t="s">
        <v>294</v>
      </c>
      <c r="D82" s="174" t="s">
        <v>295</v>
      </c>
      <c r="E82" s="156" t="s">
        <v>216</v>
      </c>
      <c r="F82" s="159">
        <v>40.76</v>
      </c>
      <c r="G82" s="156">
        <v>240</v>
      </c>
      <c r="H82" s="156">
        <v>0</v>
      </c>
      <c r="I82" s="156">
        <v>0</v>
      </c>
      <c r="J82" s="156">
        <v>0</v>
      </c>
      <c r="K82" s="156">
        <f t="shared" si="11"/>
        <v>240</v>
      </c>
      <c r="L82" s="160">
        <f t="shared" si="12"/>
        <v>9782.4</v>
      </c>
      <c r="M82" s="160">
        <f t="shared" si="12"/>
        <v>0</v>
      </c>
      <c r="N82" s="160">
        <f t="shared" si="12"/>
        <v>0</v>
      </c>
      <c r="O82" s="160">
        <f t="shared" si="12"/>
        <v>0</v>
      </c>
      <c r="P82" s="160">
        <f t="shared" si="13"/>
        <v>9782.4</v>
      </c>
      <c r="Q82" s="161"/>
      <c r="R82" s="136"/>
      <c r="S82" s="108" t="str">
        <f t="shared" si="14"/>
        <v>Materiais e EPIs/EPCs (sob demanda)</v>
      </c>
      <c r="T82" s="110"/>
    </row>
    <row r="83" spans="1:20" ht="127.5">
      <c r="A83" s="155">
        <v>45</v>
      </c>
      <c r="B83" s="172" t="s">
        <v>183</v>
      </c>
      <c r="C83" s="173" t="s">
        <v>296</v>
      </c>
      <c r="D83" s="174" t="s">
        <v>297</v>
      </c>
      <c r="E83" s="156" t="s">
        <v>216</v>
      </c>
      <c r="F83" s="159">
        <v>41.91</v>
      </c>
      <c r="G83" s="156">
        <v>144</v>
      </c>
      <c r="H83" s="156">
        <v>0</v>
      </c>
      <c r="I83" s="156">
        <v>0</v>
      </c>
      <c r="J83" s="156">
        <v>0</v>
      </c>
      <c r="K83" s="156">
        <f t="shared" si="11"/>
        <v>144</v>
      </c>
      <c r="L83" s="160">
        <f t="shared" si="12"/>
        <v>6035.0399999999991</v>
      </c>
      <c r="M83" s="160">
        <f t="shared" si="12"/>
        <v>0</v>
      </c>
      <c r="N83" s="160">
        <f t="shared" si="12"/>
        <v>0</v>
      </c>
      <c r="O83" s="160">
        <f t="shared" si="12"/>
        <v>0</v>
      </c>
      <c r="P83" s="160">
        <f t="shared" si="13"/>
        <v>6035.0399999999991</v>
      </c>
      <c r="Q83" s="161"/>
      <c r="R83" s="136"/>
      <c r="S83" s="108" t="str">
        <f t="shared" si="14"/>
        <v>Materiais e EPIs/EPCs (sob demanda)</v>
      </c>
      <c r="T83" s="110"/>
    </row>
    <row r="84" spans="1:20" ht="140.25">
      <c r="A84" s="155">
        <v>46</v>
      </c>
      <c r="B84" s="172" t="s">
        <v>183</v>
      </c>
      <c r="C84" s="173" t="s">
        <v>298</v>
      </c>
      <c r="D84" s="174" t="s">
        <v>299</v>
      </c>
      <c r="E84" s="156" t="s">
        <v>216</v>
      </c>
      <c r="F84" s="159">
        <v>29.62</v>
      </c>
      <c r="G84" s="156">
        <v>72</v>
      </c>
      <c r="H84" s="156">
        <v>0</v>
      </c>
      <c r="I84" s="156">
        <v>0</v>
      </c>
      <c r="J84" s="156">
        <v>0</v>
      </c>
      <c r="K84" s="156">
        <f t="shared" si="11"/>
        <v>72</v>
      </c>
      <c r="L84" s="160">
        <f t="shared" si="12"/>
        <v>2132.64</v>
      </c>
      <c r="M84" s="160">
        <f t="shared" si="12"/>
        <v>0</v>
      </c>
      <c r="N84" s="160">
        <f t="shared" si="12"/>
        <v>0</v>
      </c>
      <c r="O84" s="160">
        <f t="shared" si="12"/>
        <v>0</v>
      </c>
      <c r="P84" s="160">
        <f t="shared" si="13"/>
        <v>2132.64</v>
      </c>
      <c r="Q84" s="161"/>
      <c r="R84" s="136"/>
      <c r="S84" s="108" t="str">
        <f t="shared" si="14"/>
        <v>Materiais e EPIs/EPCs (sob demanda)</v>
      </c>
      <c r="T84" s="110"/>
    </row>
    <row r="85" spans="1:20" ht="51">
      <c r="A85" s="155">
        <v>47</v>
      </c>
      <c r="B85" s="172" t="s">
        <v>183</v>
      </c>
      <c r="C85" s="173" t="s">
        <v>300</v>
      </c>
      <c r="D85" s="174" t="s">
        <v>291</v>
      </c>
      <c r="E85" s="156" t="s">
        <v>216</v>
      </c>
      <c r="F85" s="159">
        <v>43.66</v>
      </c>
      <c r="G85" s="156">
        <v>144</v>
      </c>
      <c r="H85" s="156">
        <v>0</v>
      </c>
      <c r="I85" s="156">
        <v>0</v>
      </c>
      <c r="J85" s="156">
        <v>0</v>
      </c>
      <c r="K85" s="156">
        <f t="shared" si="11"/>
        <v>144</v>
      </c>
      <c r="L85" s="160">
        <f t="shared" si="12"/>
        <v>6287.0399999999991</v>
      </c>
      <c r="M85" s="160">
        <f t="shared" si="12"/>
        <v>0</v>
      </c>
      <c r="N85" s="160">
        <f t="shared" si="12"/>
        <v>0</v>
      </c>
      <c r="O85" s="160">
        <f t="shared" si="12"/>
        <v>0</v>
      </c>
      <c r="P85" s="160">
        <f t="shared" si="13"/>
        <v>6287.0399999999991</v>
      </c>
      <c r="Q85" s="161"/>
      <c r="R85" s="136"/>
      <c r="S85" s="108" t="str">
        <f t="shared" si="14"/>
        <v>Materiais e EPIs/EPCs (sob demanda)</v>
      </c>
      <c r="T85" s="110"/>
    </row>
    <row r="86" spans="1:20" ht="38.25">
      <c r="A86" s="155">
        <v>48</v>
      </c>
      <c r="B86" s="172" t="s">
        <v>183</v>
      </c>
      <c r="C86" s="173" t="s">
        <v>301</v>
      </c>
      <c r="D86" s="174" t="s">
        <v>302</v>
      </c>
      <c r="E86" s="156" t="s">
        <v>216</v>
      </c>
      <c r="F86" s="159">
        <v>9.2100000000000009</v>
      </c>
      <c r="G86" s="156">
        <v>48</v>
      </c>
      <c r="H86" s="156">
        <v>0</v>
      </c>
      <c r="I86" s="156">
        <v>0</v>
      </c>
      <c r="J86" s="156">
        <v>0</v>
      </c>
      <c r="K86" s="156">
        <f t="shared" si="11"/>
        <v>48</v>
      </c>
      <c r="L86" s="160">
        <f t="shared" si="12"/>
        <v>442.08000000000004</v>
      </c>
      <c r="M86" s="160">
        <f t="shared" si="12"/>
        <v>0</v>
      </c>
      <c r="N86" s="160">
        <f t="shared" si="12"/>
        <v>0</v>
      </c>
      <c r="O86" s="160">
        <f t="shared" si="12"/>
        <v>0</v>
      </c>
      <c r="P86" s="160">
        <f t="shared" si="13"/>
        <v>442.08000000000004</v>
      </c>
      <c r="Q86" s="161"/>
      <c r="R86" s="136"/>
      <c r="S86" s="108" t="str">
        <f t="shared" si="14"/>
        <v>Materiais e EPIs/EPCs (sob demanda)</v>
      </c>
      <c r="T86" s="110"/>
    </row>
    <row r="87" spans="1:20" ht="38.25">
      <c r="A87" s="155">
        <v>49</v>
      </c>
      <c r="B87" s="172" t="s">
        <v>183</v>
      </c>
      <c r="C87" s="173" t="s">
        <v>303</v>
      </c>
      <c r="D87" s="174" t="s">
        <v>302</v>
      </c>
      <c r="E87" s="156" t="s">
        <v>216</v>
      </c>
      <c r="F87" s="159">
        <v>47.99</v>
      </c>
      <c r="G87" s="156">
        <v>144</v>
      </c>
      <c r="H87" s="156">
        <v>0</v>
      </c>
      <c r="I87" s="156">
        <v>0</v>
      </c>
      <c r="J87" s="156">
        <v>0</v>
      </c>
      <c r="K87" s="156">
        <f t="shared" si="11"/>
        <v>144</v>
      </c>
      <c r="L87" s="160">
        <f t="shared" si="12"/>
        <v>6910.56</v>
      </c>
      <c r="M87" s="160">
        <f t="shared" si="12"/>
        <v>0</v>
      </c>
      <c r="N87" s="160">
        <f t="shared" si="12"/>
        <v>0</v>
      </c>
      <c r="O87" s="160">
        <f t="shared" si="12"/>
        <v>0</v>
      </c>
      <c r="P87" s="160">
        <f t="shared" si="13"/>
        <v>6910.56</v>
      </c>
      <c r="Q87" s="161"/>
      <c r="R87" s="136"/>
      <c r="S87" s="108" t="str">
        <f t="shared" si="14"/>
        <v>Materiais e EPIs/EPCs (sob demanda)</v>
      </c>
      <c r="T87" s="110"/>
    </row>
    <row r="88" spans="1:20" ht="38.25">
      <c r="A88" s="155">
        <v>50</v>
      </c>
      <c r="B88" s="172" t="s">
        <v>183</v>
      </c>
      <c r="C88" s="173" t="s">
        <v>304</v>
      </c>
      <c r="D88" s="174" t="s">
        <v>305</v>
      </c>
      <c r="E88" s="156" t="s">
        <v>216</v>
      </c>
      <c r="F88" s="159">
        <v>10.44</v>
      </c>
      <c r="G88" s="156">
        <v>144</v>
      </c>
      <c r="H88" s="156">
        <v>0</v>
      </c>
      <c r="I88" s="156">
        <v>0</v>
      </c>
      <c r="J88" s="156">
        <v>0</v>
      </c>
      <c r="K88" s="156">
        <f t="shared" si="11"/>
        <v>144</v>
      </c>
      <c r="L88" s="160">
        <f t="shared" si="12"/>
        <v>1503.36</v>
      </c>
      <c r="M88" s="160">
        <f t="shared" si="12"/>
        <v>0</v>
      </c>
      <c r="N88" s="160">
        <f t="shared" si="12"/>
        <v>0</v>
      </c>
      <c r="O88" s="160">
        <f t="shared" si="12"/>
        <v>0</v>
      </c>
      <c r="P88" s="160">
        <f t="shared" si="13"/>
        <v>1503.36</v>
      </c>
      <c r="Q88" s="161"/>
      <c r="R88" s="136"/>
      <c r="S88" s="108" t="str">
        <f t="shared" si="14"/>
        <v>Materiais e EPIs/EPCs (sob demanda)</v>
      </c>
      <c r="T88" s="110"/>
    </row>
    <row r="89" spans="1:20" ht="38.25">
      <c r="A89" s="155">
        <v>51</v>
      </c>
      <c r="B89" s="172" t="s">
        <v>183</v>
      </c>
      <c r="C89" s="173" t="s">
        <v>306</v>
      </c>
      <c r="D89" s="174" t="s">
        <v>307</v>
      </c>
      <c r="E89" s="156" t="s">
        <v>216</v>
      </c>
      <c r="F89" s="159">
        <v>15.6</v>
      </c>
      <c r="G89" s="156">
        <v>72</v>
      </c>
      <c r="H89" s="156">
        <v>0</v>
      </c>
      <c r="I89" s="156">
        <v>0</v>
      </c>
      <c r="J89" s="156">
        <v>0</v>
      </c>
      <c r="K89" s="156">
        <f t="shared" si="11"/>
        <v>72</v>
      </c>
      <c r="L89" s="160">
        <f t="shared" si="12"/>
        <v>1123.2</v>
      </c>
      <c r="M89" s="160">
        <f t="shared" si="12"/>
        <v>0</v>
      </c>
      <c r="N89" s="160">
        <f t="shared" si="12"/>
        <v>0</v>
      </c>
      <c r="O89" s="160">
        <f t="shared" si="12"/>
        <v>0</v>
      </c>
      <c r="P89" s="160">
        <f t="shared" si="13"/>
        <v>1123.2</v>
      </c>
      <c r="Q89" s="161"/>
      <c r="R89" s="136"/>
      <c r="S89" s="108" t="str">
        <f t="shared" si="14"/>
        <v>Materiais e EPIs/EPCs (sob demanda)</v>
      </c>
      <c r="T89" s="110"/>
    </row>
    <row r="90" spans="1:20" ht="63.75">
      <c r="A90" s="155">
        <v>52</v>
      </c>
      <c r="B90" s="172" t="s">
        <v>183</v>
      </c>
      <c r="C90" s="173" t="s">
        <v>308</v>
      </c>
      <c r="D90" s="174" t="s">
        <v>309</v>
      </c>
      <c r="E90" s="156" t="s">
        <v>216</v>
      </c>
      <c r="F90" s="159">
        <v>19.96</v>
      </c>
      <c r="G90" s="156">
        <v>120</v>
      </c>
      <c r="H90" s="156">
        <v>0</v>
      </c>
      <c r="I90" s="156">
        <v>0</v>
      </c>
      <c r="J90" s="156">
        <v>0</v>
      </c>
      <c r="K90" s="156">
        <f t="shared" si="11"/>
        <v>120</v>
      </c>
      <c r="L90" s="160">
        <f t="shared" si="12"/>
        <v>2395.2000000000003</v>
      </c>
      <c r="M90" s="160">
        <f t="shared" si="12"/>
        <v>0</v>
      </c>
      <c r="N90" s="160">
        <f t="shared" si="12"/>
        <v>0</v>
      </c>
      <c r="O90" s="160">
        <f t="shared" si="12"/>
        <v>0</v>
      </c>
      <c r="P90" s="160">
        <f t="shared" si="13"/>
        <v>2395.2000000000003</v>
      </c>
      <c r="Q90" s="161"/>
      <c r="R90" s="136"/>
      <c r="S90" s="108" t="str">
        <f t="shared" si="14"/>
        <v>Materiais e EPIs/EPCs (sob demanda)</v>
      </c>
      <c r="T90" s="110"/>
    </row>
    <row r="91" spans="1:20" ht="38.25">
      <c r="A91" s="155">
        <v>53</v>
      </c>
      <c r="B91" s="172" t="s">
        <v>183</v>
      </c>
      <c r="C91" s="173" t="s">
        <v>310</v>
      </c>
      <c r="D91" s="174" t="s">
        <v>311</v>
      </c>
      <c r="E91" s="156" t="s">
        <v>216</v>
      </c>
      <c r="F91" s="159">
        <v>3.58</v>
      </c>
      <c r="G91" s="156">
        <v>144</v>
      </c>
      <c r="H91" s="156">
        <v>0</v>
      </c>
      <c r="I91" s="156">
        <v>0</v>
      </c>
      <c r="J91" s="156">
        <v>0</v>
      </c>
      <c r="K91" s="156">
        <f t="shared" si="11"/>
        <v>144</v>
      </c>
      <c r="L91" s="160">
        <f t="shared" si="12"/>
        <v>515.52</v>
      </c>
      <c r="M91" s="160">
        <f t="shared" si="12"/>
        <v>0</v>
      </c>
      <c r="N91" s="160">
        <f t="shared" si="12"/>
        <v>0</v>
      </c>
      <c r="O91" s="160">
        <f t="shared" si="12"/>
        <v>0</v>
      </c>
      <c r="P91" s="160">
        <f t="shared" si="13"/>
        <v>515.52</v>
      </c>
      <c r="Q91" s="161"/>
      <c r="R91" s="136"/>
      <c r="S91" s="108" t="str">
        <f t="shared" si="14"/>
        <v>Materiais e EPIs/EPCs (sob demanda)</v>
      </c>
      <c r="T91" s="110"/>
    </row>
    <row r="92" spans="1:20" ht="51">
      <c r="A92" s="155">
        <v>54</v>
      </c>
      <c r="B92" s="172" t="s">
        <v>183</v>
      </c>
      <c r="C92" s="173" t="s">
        <v>312</v>
      </c>
      <c r="D92" s="174" t="s">
        <v>313</v>
      </c>
      <c r="E92" s="156" t="s">
        <v>314</v>
      </c>
      <c r="F92" s="159">
        <v>9.7799999999999994</v>
      </c>
      <c r="G92" s="156">
        <v>48</v>
      </c>
      <c r="H92" s="156">
        <v>0</v>
      </c>
      <c r="I92" s="156">
        <v>0</v>
      </c>
      <c r="J92" s="156">
        <v>0</v>
      </c>
      <c r="K92" s="156">
        <f t="shared" si="11"/>
        <v>48</v>
      </c>
      <c r="L92" s="160">
        <f t="shared" si="12"/>
        <v>469.43999999999994</v>
      </c>
      <c r="M92" s="160">
        <f t="shared" si="12"/>
        <v>0</v>
      </c>
      <c r="N92" s="160">
        <f t="shared" si="12"/>
        <v>0</v>
      </c>
      <c r="O92" s="160">
        <f t="shared" si="12"/>
        <v>0</v>
      </c>
      <c r="P92" s="160">
        <f t="shared" si="13"/>
        <v>469.43999999999994</v>
      </c>
      <c r="Q92" s="161"/>
      <c r="R92" s="136"/>
      <c r="S92" s="108" t="str">
        <f t="shared" si="14"/>
        <v>Materiais e EPIs/EPCs (sob demanda)</v>
      </c>
      <c r="T92" s="110"/>
    </row>
    <row r="93" spans="1:20" ht="38.25">
      <c r="A93" s="155">
        <v>55</v>
      </c>
      <c r="B93" s="172" t="s">
        <v>183</v>
      </c>
      <c r="C93" s="173" t="s">
        <v>315</v>
      </c>
      <c r="D93" s="174" t="s">
        <v>316</v>
      </c>
      <c r="E93" s="156" t="s">
        <v>216</v>
      </c>
      <c r="F93" s="159">
        <v>19.05</v>
      </c>
      <c r="G93" s="156">
        <v>120</v>
      </c>
      <c r="H93" s="156">
        <v>0</v>
      </c>
      <c r="I93" s="156">
        <v>0</v>
      </c>
      <c r="J93" s="156">
        <v>0</v>
      </c>
      <c r="K93" s="156">
        <f t="shared" si="11"/>
        <v>120</v>
      </c>
      <c r="L93" s="160">
        <f t="shared" si="12"/>
        <v>2286</v>
      </c>
      <c r="M93" s="160">
        <f t="shared" si="12"/>
        <v>0</v>
      </c>
      <c r="N93" s="160">
        <f t="shared" si="12"/>
        <v>0</v>
      </c>
      <c r="O93" s="160">
        <f t="shared" si="12"/>
        <v>0</v>
      </c>
      <c r="P93" s="160">
        <f t="shared" si="13"/>
        <v>2286</v>
      </c>
      <c r="Q93" s="161"/>
      <c r="R93" s="136"/>
      <c r="S93" s="108" t="str">
        <f t="shared" si="14"/>
        <v>Materiais e EPIs/EPCs (sob demanda)</v>
      </c>
      <c r="T93" s="110"/>
    </row>
    <row r="94" spans="1:20" ht="38.25">
      <c r="A94" s="155">
        <v>56</v>
      </c>
      <c r="B94" s="172" t="s">
        <v>183</v>
      </c>
      <c r="C94" s="173" t="s">
        <v>317</v>
      </c>
      <c r="D94" s="174" t="s">
        <v>318</v>
      </c>
      <c r="E94" s="156" t="s">
        <v>314</v>
      </c>
      <c r="F94" s="159">
        <v>6.35</v>
      </c>
      <c r="G94" s="156">
        <v>40</v>
      </c>
      <c r="H94" s="156">
        <v>0</v>
      </c>
      <c r="I94" s="156">
        <v>0</v>
      </c>
      <c r="J94" s="156">
        <v>0</v>
      </c>
      <c r="K94" s="156">
        <f t="shared" si="11"/>
        <v>40</v>
      </c>
      <c r="L94" s="160">
        <f t="shared" si="12"/>
        <v>254</v>
      </c>
      <c r="M94" s="160">
        <f t="shared" si="12"/>
        <v>0</v>
      </c>
      <c r="N94" s="160">
        <f t="shared" si="12"/>
        <v>0</v>
      </c>
      <c r="O94" s="160">
        <f t="shared" si="12"/>
        <v>0</v>
      </c>
      <c r="P94" s="160">
        <f t="shared" si="13"/>
        <v>254</v>
      </c>
      <c r="Q94" s="161"/>
      <c r="R94" s="136"/>
      <c r="S94" s="108" t="str">
        <f t="shared" si="14"/>
        <v>Materiais e EPIs/EPCs (sob demanda)</v>
      </c>
      <c r="T94" s="110"/>
    </row>
    <row r="95" spans="1:20" ht="38.25">
      <c r="A95" s="155">
        <v>57</v>
      </c>
      <c r="B95" s="172" t="s">
        <v>183</v>
      </c>
      <c r="C95" s="173" t="s">
        <v>319</v>
      </c>
      <c r="D95" s="174" t="s">
        <v>226</v>
      </c>
      <c r="E95" s="156" t="s">
        <v>216</v>
      </c>
      <c r="F95" s="159">
        <v>32.18</v>
      </c>
      <c r="G95" s="156">
        <v>40</v>
      </c>
      <c r="H95" s="156">
        <v>0</v>
      </c>
      <c r="I95" s="156">
        <v>0</v>
      </c>
      <c r="J95" s="156">
        <v>0</v>
      </c>
      <c r="K95" s="156">
        <f t="shared" si="11"/>
        <v>40</v>
      </c>
      <c r="L95" s="160">
        <f t="shared" si="12"/>
        <v>1287.2</v>
      </c>
      <c r="M95" s="160">
        <f t="shared" si="12"/>
        <v>0</v>
      </c>
      <c r="N95" s="160">
        <f t="shared" si="12"/>
        <v>0</v>
      </c>
      <c r="O95" s="160">
        <f t="shared" si="12"/>
        <v>0</v>
      </c>
      <c r="P95" s="160">
        <f t="shared" si="13"/>
        <v>1287.2</v>
      </c>
      <c r="Q95" s="161"/>
      <c r="R95" s="136"/>
      <c r="S95" s="108" t="str">
        <f t="shared" si="14"/>
        <v>Materiais e EPIs/EPCs (sob demanda)</v>
      </c>
      <c r="T95" s="110"/>
    </row>
    <row r="96" spans="1:20" ht="38.25">
      <c r="A96" s="155">
        <v>58</v>
      </c>
      <c r="B96" s="172" t="s">
        <v>183</v>
      </c>
      <c r="C96" s="173" t="s">
        <v>320</v>
      </c>
      <c r="D96" s="174" t="s">
        <v>321</v>
      </c>
      <c r="E96" s="156" t="s">
        <v>216</v>
      </c>
      <c r="F96" s="159">
        <v>43.58</v>
      </c>
      <c r="G96" s="156">
        <v>40</v>
      </c>
      <c r="H96" s="156">
        <v>0</v>
      </c>
      <c r="I96" s="156">
        <v>0</v>
      </c>
      <c r="J96" s="156">
        <v>0</v>
      </c>
      <c r="K96" s="156">
        <f t="shared" si="11"/>
        <v>40</v>
      </c>
      <c r="L96" s="160">
        <f t="shared" si="12"/>
        <v>1743.1999999999998</v>
      </c>
      <c r="M96" s="160">
        <f t="shared" si="12"/>
        <v>0</v>
      </c>
      <c r="N96" s="160">
        <f t="shared" si="12"/>
        <v>0</v>
      </c>
      <c r="O96" s="160">
        <f t="shared" si="12"/>
        <v>0</v>
      </c>
      <c r="P96" s="160">
        <f t="shared" si="13"/>
        <v>1743.1999999999998</v>
      </c>
      <c r="Q96" s="161"/>
      <c r="R96" s="136"/>
      <c r="S96" s="108" t="str">
        <f t="shared" si="14"/>
        <v>Materiais e EPIs/EPCs (sob demanda)</v>
      </c>
      <c r="T96" s="110"/>
    </row>
    <row r="97" spans="1:20" ht="38.25">
      <c r="A97" s="155">
        <v>59</v>
      </c>
      <c r="B97" s="172" t="s">
        <v>183</v>
      </c>
      <c r="C97" s="173" t="s">
        <v>322</v>
      </c>
      <c r="D97" s="174" t="s">
        <v>323</v>
      </c>
      <c r="E97" s="156" t="s">
        <v>216</v>
      </c>
      <c r="F97" s="159">
        <v>15.82</v>
      </c>
      <c r="G97" s="156">
        <v>144</v>
      </c>
      <c r="H97" s="156">
        <v>0</v>
      </c>
      <c r="I97" s="156">
        <v>0</v>
      </c>
      <c r="J97" s="156">
        <v>0</v>
      </c>
      <c r="K97" s="156">
        <f t="shared" si="11"/>
        <v>144</v>
      </c>
      <c r="L97" s="160">
        <f t="shared" si="12"/>
        <v>2278.08</v>
      </c>
      <c r="M97" s="160">
        <f t="shared" si="12"/>
        <v>0</v>
      </c>
      <c r="N97" s="160">
        <f t="shared" si="12"/>
        <v>0</v>
      </c>
      <c r="O97" s="160">
        <f t="shared" si="12"/>
        <v>0</v>
      </c>
      <c r="P97" s="160">
        <f t="shared" si="13"/>
        <v>2278.08</v>
      </c>
      <c r="Q97" s="161"/>
      <c r="R97" s="136"/>
      <c r="S97" s="108" t="str">
        <f t="shared" si="14"/>
        <v>Materiais e EPIs/EPCs (sob demanda)</v>
      </c>
      <c r="T97" s="110"/>
    </row>
    <row r="98" spans="1:20" ht="51">
      <c r="A98" s="155">
        <v>60</v>
      </c>
      <c r="B98" s="172" t="s">
        <v>183</v>
      </c>
      <c r="C98" s="173" t="s">
        <v>324</v>
      </c>
      <c r="D98" s="174" t="s">
        <v>226</v>
      </c>
      <c r="E98" s="156" t="s">
        <v>216</v>
      </c>
      <c r="F98" s="159">
        <v>15.61</v>
      </c>
      <c r="G98" s="156">
        <v>12</v>
      </c>
      <c r="H98" s="156">
        <v>0</v>
      </c>
      <c r="I98" s="156">
        <v>0</v>
      </c>
      <c r="J98" s="156">
        <v>0</v>
      </c>
      <c r="K98" s="156">
        <f t="shared" si="11"/>
        <v>12</v>
      </c>
      <c r="L98" s="160">
        <f t="shared" si="12"/>
        <v>187.32</v>
      </c>
      <c r="M98" s="160">
        <f t="shared" si="12"/>
        <v>0</v>
      </c>
      <c r="N98" s="160">
        <f t="shared" si="12"/>
        <v>0</v>
      </c>
      <c r="O98" s="160">
        <f t="shared" si="12"/>
        <v>0</v>
      </c>
      <c r="P98" s="160">
        <f t="shared" si="13"/>
        <v>187.32</v>
      </c>
      <c r="Q98" s="161"/>
      <c r="R98" s="136"/>
      <c r="S98" s="108" t="str">
        <f t="shared" si="14"/>
        <v>Materiais e EPIs/EPCs (sob demanda)</v>
      </c>
      <c r="T98" s="110"/>
    </row>
    <row r="99" spans="1:20" ht="153">
      <c r="A99" s="155">
        <v>61</v>
      </c>
      <c r="B99" s="172" t="s">
        <v>183</v>
      </c>
      <c r="C99" s="173" t="s">
        <v>325</v>
      </c>
      <c r="D99" s="174" t="s">
        <v>22</v>
      </c>
      <c r="E99" s="156" t="s">
        <v>216</v>
      </c>
      <c r="F99" s="159">
        <v>6.72</v>
      </c>
      <c r="G99" s="156">
        <v>360</v>
      </c>
      <c r="H99" s="156">
        <v>0</v>
      </c>
      <c r="I99" s="156">
        <v>0</v>
      </c>
      <c r="J99" s="156">
        <v>0</v>
      </c>
      <c r="K99" s="156">
        <f t="shared" si="11"/>
        <v>360</v>
      </c>
      <c r="L99" s="160">
        <f t="shared" si="12"/>
        <v>2419.1999999999998</v>
      </c>
      <c r="M99" s="160">
        <f t="shared" si="12"/>
        <v>0</v>
      </c>
      <c r="N99" s="160">
        <f t="shared" si="12"/>
        <v>0</v>
      </c>
      <c r="O99" s="160">
        <f t="shared" si="12"/>
        <v>0</v>
      </c>
      <c r="P99" s="160">
        <f t="shared" si="13"/>
        <v>2419.1999999999998</v>
      </c>
      <c r="Q99" s="161"/>
      <c r="R99" s="136"/>
      <c r="S99" s="108" t="str">
        <f t="shared" si="14"/>
        <v>Materiais e EPIs/EPCs (sob demanda)</v>
      </c>
      <c r="T99" s="110"/>
    </row>
    <row r="100" spans="1:20" ht="114.75">
      <c r="A100" s="155">
        <v>62</v>
      </c>
      <c r="B100" s="172" t="s">
        <v>183</v>
      </c>
      <c r="C100" s="173" t="s">
        <v>326</v>
      </c>
      <c r="D100" s="174" t="s">
        <v>22</v>
      </c>
      <c r="E100" s="156" t="s">
        <v>216</v>
      </c>
      <c r="F100" s="159">
        <v>73.430000000000007</v>
      </c>
      <c r="G100" s="156">
        <v>14</v>
      </c>
      <c r="H100" s="156">
        <v>0</v>
      </c>
      <c r="I100" s="156">
        <v>0</v>
      </c>
      <c r="J100" s="156">
        <v>0</v>
      </c>
      <c r="K100" s="156">
        <f t="shared" si="11"/>
        <v>14</v>
      </c>
      <c r="L100" s="160">
        <f t="shared" si="12"/>
        <v>1028.02</v>
      </c>
      <c r="M100" s="160">
        <f t="shared" si="12"/>
        <v>0</v>
      </c>
      <c r="N100" s="160">
        <f t="shared" si="12"/>
        <v>0</v>
      </c>
      <c r="O100" s="160">
        <f t="shared" si="12"/>
        <v>0</v>
      </c>
      <c r="P100" s="160">
        <f t="shared" si="13"/>
        <v>1028.02</v>
      </c>
      <c r="Q100" s="161"/>
      <c r="R100" s="136"/>
      <c r="S100" s="108" t="str">
        <f t="shared" si="14"/>
        <v>Materiais e EPIs/EPCs (sob demanda)</v>
      </c>
      <c r="T100" s="110"/>
    </row>
    <row r="101" spans="1:20" ht="178.5">
      <c r="A101" s="155">
        <v>63</v>
      </c>
      <c r="B101" s="172" t="s">
        <v>183</v>
      </c>
      <c r="C101" s="173" t="s">
        <v>327</v>
      </c>
      <c r="D101" s="174" t="s">
        <v>22</v>
      </c>
      <c r="E101" s="156" t="s">
        <v>216</v>
      </c>
      <c r="F101" s="159">
        <v>16.02</v>
      </c>
      <c r="G101" s="156">
        <v>24</v>
      </c>
      <c r="H101" s="156">
        <v>0</v>
      </c>
      <c r="I101" s="156">
        <v>0</v>
      </c>
      <c r="J101" s="156">
        <v>0</v>
      </c>
      <c r="K101" s="156">
        <f t="shared" si="11"/>
        <v>24</v>
      </c>
      <c r="L101" s="160">
        <f t="shared" si="12"/>
        <v>384.48</v>
      </c>
      <c r="M101" s="160">
        <f t="shared" si="12"/>
        <v>0</v>
      </c>
      <c r="N101" s="160">
        <f t="shared" si="12"/>
        <v>0</v>
      </c>
      <c r="O101" s="160">
        <f t="shared" si="12"/>
        <v>0</v>
      </c>
      <c r="P101" s="160">
        <f t="shared" si="13"/>
        <v>384.48</v>
      </c>
      <c r="Q101" s="161"/>
      <c r="R101" s="136"/>
      <c r="S101" s="108" t="str">
        <f t="shared" si="14"/>
        <v>Materiais e EPIs/EPCs (sob demanda)</v>
      </c>
      <c r="T101" s="110"/>
    </row>
    <row r="102" spans="1:20" ht="191.25">
      <c r="A102" s="155">
        <v>64</v>
      </c>
      <c r="B102" s="172" t="s">
        <v>183</v>
      </c>
      <c r="C102" s="173" t="s">
        <v>328</v>
      </c>
      <c r="D102" s="174" t="s">
        <v>226</v>
      </c>
      <c r="E102" s="156" t="s">
        <v>216</v>
      </c>
      <c r="F102" s="159">
        <v>33.049999999999997</v>
      </c>
      <c r="G102" s="156">
        <v>11</v>
      </c>
      <c r="H102" s="156">
        <v>2</v>
      </c>
      <c r="I102" s="156">
        <v>1</v>
      </c>
      <c r="J102" s="156">
        <v>0</v>
      </c>
      <c r="K102" s="156">
        <f t="shared" si="11"/>
        <v>14</v>
      </c>
      <c r="L102" s="160">
        <f t="shared" si="12"/>
        <v>363.54999999999995</v>
      </c>
      <c r="M102" s="160">
        <f t="shared" si="12"/>
        <v>66.099999999999994</v>
      </c>
      <c r="N102" s="160">
        <f t="shared" si="12"/>
        <v>33.049999999999997</v>
      </c>
      <c r="O102" s="160">
        <f t="shared" si="12"/>
        <v>0</v>
      </c>
      <c r="P102" s="160">
        <f t="shared" si="13"/>
        <v>462.7</v>
      </c>
      <c r="Q102" s="161"/>
      <c r="R102" s="136"/>
      <c r="S102" s="108" t="str">
        <f t="shared" si="14"/>
        <v>Materiais e EPIs/EPCs (sob demanda)</v>
      </c>
      <c r="T102" s="110"/>
    </row>
    <row r="103" spans="1:20" ht="178.5">
      <c r="A103" s="155">
        <v>65</v>
      </c>
      <c r="B103" s="172" t="s">
        <v>183</v>
      </c>
      <c r="C103" s="173" t="s">
        <v>329</v>
      </c>
      <c r="D103" s="174" t="s">
        <v>330</v>
      </c>
      <c r="E103" s="156" t="s">
        <v>231</v>
      </c>
      <c r="F103" s="159">
        <v>37.58</v>
      </c>
      <c r="G103" s="156">
        <v>11</v>
      </c>
      <c r="H103" s="156">
        <v>2</v>
      </c>
      <c r="I103" s="156">
        <v>1</v>
      </c>
      <c r="J103" s="156">
        <v>0</v>
      </c>
      <c r="K103" s="156">
        <f t="shared" si="11"/>
        <v>14</v>
      </c>
      <c r="L103" s="160">
        <f t="shared" si="12"/>
        <v>413.38</v>
      </c>
      <c r="M103" s="160">
        <f t="shared" si="12"/>
        <v>75.16</v>
      </c>
      <c r="N103" s="160">
        <f t="shared" si="12"/>
        <v>37.58</v>
      </c>
      <c r="O103" s="160">
        <f t="shared" si="12"/>
        <v>0</v>
      </c>
      <c r="P103" s="160">
        <f t="shared" si="13"/>
        <v>526.12</v>
      </c>
      <c r="Q103" s="161"/>
      <c r="R103" s="136"/>
      <c r="S103" s="108" t="str">
        <f t="shared" si="14"/>
        <v>Materiais e EPIs/EPCs (sob demanda)</v>
      </c>
      <c r="T103" s="110"/>
    </row>
    <row r="104" spans="1:20" ht="114.75">
      <c r="A104" s="155">
        <v>66</v>
      </c>
      <c r="B104" s="172" t="s">
        <v>183</v>
      </c>
      <c r="C104" s="173" t="s">
        <v>331</v>
      </c>
      <c r="D104" s="174" t="s">
        <v>226</v>
      </c>
      <c r="E104" s="156" t="s">
        <v>216</v>
      </c>
      <c r="F104" s="159">
        <v>19.75</v>
      </c>
      <c r="G104" s="156">
        <v>11</v>
      </c>
      <c r="H104" s="156">
        <v>2</v>
      </c>
      <c r="I104" s="156">
        <v>1</v>
      </c>
      <c r="J104" s="156">
        <v>0</v>
      </c>
      <c r="K104" s="156">
        <f t="shared" ref="K104:K112" si="15">SUM(G104:J104)</f>
        <v>14</v>
      </c>
      <c r="L104" s="160">
        <f t="shared" ref="L104:O112" si="16">$F104*G104</f>
        <v>217.25</v>
      </c>
      <c r="M104" s="160">
        <f t="shared" si="16"/>
        <v>39.5</v>
      </c>
      <c r="N104" s="160">
        <f t="shared" si="16"/>
        <v>19.75</v>
      </c>
      <c r="O104" s="160">
        <f t="shared" si="16"/>
        <v>0</v>
      </c>
      <c r="P104" s="160">
        <f t="shared" ref="P104:P112" si="17">SUM(L104:O104)</f>
        <v>276.5</v>
      </c>
      <c r="Q104" s="161"/>
      <c r="R104" s="136"/>
      <c r="S104" s="108" t="str">
        <f t="shared" ref="S104:S112" si="18">$D$9</f>
        <v>Materiais e EPIs/EPCs (sob demanda)</v>
      </c>
      <c r="T104" s="110"/>
    </row>
    <row r="105" spans="1:20" ht="51">
      <c r="A105" s="155">
        <v>67</v>
      </c>
      <c r="B105" s="172" t="s">
        <v>183</v>
      </c>
      <c r="C105" s="173" t="s">
        <v>332</v>
      </c>
      <c r="D105" s="174" t="s">
        <v>22</v>
      </c>
      <c r="E105" s="156" t="s">
        <v>224</v>
      </c>
      <c r="F105" s="159">
        <v>30.9</v>
      </c>
      <c r="G105" s="156">
        <v>12</v>
      </c>
      <c r="H105" s="156">
        <v>0</v>
      </c>
      <c r="I105" s="156">
        <v>0</v>
      </c>
      <c r="J105" s="156">
        <v>0</v>
      </c>
      <c r="K105" s="156">
        <f t="shared" si="15"/>
        <v>12</v>
      </c>
      <c r="L105" s="160">
        <f t="shared" si="16"/>
        <v>370.79999999999995</v>
      </c>
      <c r="M105" s="160">
        <f t="shared" si="16"/>
        <v>0</v>
      </c>
      <c r="N105" s="160">
        <f t="shared" si="16"/>
        <v>0</v>
      </c>
      <c r="O105" s="160">
        <f t="shared" si="16"/>
        <v>0</v>
      </c>
      <c r="P105" s="160">
        <f t="shared" si="17"/>
        <v>370.79999999999995</v>
      </c>
      <c r="Q105" s="161"/>
      <c r="R105" s="136"/>
      <c r="S105" s="108" t="str">
        <f t="shared" si="18"/>
        <v>Materiais e EPIs/EPCs (sob demanda)</v>
      </c>
      <c r="T105" s="110"/>
    </row>
    <row r="106" spans="1:20" ht="114.75">
      <c r="A106" s="155">
        <v>68</v>
      </c>
      <c r="B106" s="172" t="s">
        <v>183</v>
      </c>
      <c r="C106" s="173" t="s">
        <v>333</v>
      </c>
      <c r="D106" s="174" t="s">
        <v>22</v>
      </c>
      <c r="E106" s="156" t="s">
        <v>216</v>
      </c>
      <c r="F106" s="159">
        <v>69.180000000000007</v>
      </c>
      <c r="G106" s="156">
        <v>48</v>
      </c>
      <c r="H106" s="156">
        <v>0</v>
      </c>
      <c r="I106" s="156">
        <v>0</v>
      </c>
      <c r="J106" s="156">
        <v>0</v>
      </c>
      <c r="K106" s="156">
        <f t="shared" si="15"/>
        <v>48</v>
      </c>
      <c r="L106" s="160">
        <f t="shared" si="16"/>
        <v>3320.6400000000003</v>
      </c>
      <c r="M106" s="160">
        <f t="shared" si="16"/>
        <v>0</v>
      </c>
      <c r="N106" s="160">
        <f t="shared" si="16"/>
        <v>0</v>
      </c>
      <c r="O106" s="160">
        <f t="shared" si="16"/>
        <v>0</v>
      </c>
      <c r="P106" s="160">
        <f t="shared" si="17"/>
        <v>3320.6400000000003</v>
      </c>
      <c r="Q106" s="161"/>
      <c r="R106" s="136"/>
      <c r="S106" s="108" t="str">
        <f t="shared" si="18"/>
        <v>Materiais e EPIs/EPCs (sob demanda)</v>
      </c>
      <c r="T106" s="110"/>
    </row>
    <row r="107" spans="1:20" ht="127.5">
      <c r="A107" s="155">
        <v>69</v>
      </c>
      <c r="B107" s="172" t="s">
        <v>183</v>
      </c>
      <c r="C107" s="173" t="s">
        <v>334</v>
      </c>
      <c r="D107" s="174" t="s">
        <v>335</v>
      </c>
      <c r="E107" s="156" t="s">
        <v>216</v>
      </c>
      <c r="F107" s="159">
        <v>12.85</v>
      </c>
      <c r="G107" s="156">
        <v>48</v>
      </c>
      <c r="H107" s="156">
        <v>0</v>
      </c>
      <c r="I107" s="156"/>
      <c r="J107" s="156">
        <v>0</v>
      </c>
      <c r="K107" s="156">
        <f t="shared" si="15"/>
        <v>48</v>
      </c>
      <c r="L107" s="160">
        <f t="shared" si="16"/>
        <v>616.79999999999995</v>
      </c>
      <c r="M107" s="160">
        <f t="shared" si="16"/>
        <v>0</v>
      </c>
      <c r="N107" s="160">
        <f t="shared" si="16"/>
        <v>0</v>
      </c>
      <c r="O107" s="160">
        <f t="shared" si="16"/>
        <v>0</v>
      </c>
      <c r="P107" s="160">
        <f t="shared" si="17"/>
        <v>616.79999999999995</v>
      </c>
      <c r="Q107" s="161"/>
      <c r="R107" s="136"/>
      <c r="S107" s="108" t="str">
        <f t="shared" si="18"/>
        <v>Materiais e EPIs/EPCs (sob demanda)</v>
      </c>
      <c r="T107" s="110"/>
    </row>
    <row r="108" spans="1:20" ht="178.5">
      <c r="A108" s="155">
        <v>70</v>
      </c>
      <c r="B108" s="172" t="s">
        <v>183</v>
      </c>
      <c r="C108" s="173" t="s">
        <v>336</v>
      </c>
      <c r="D108" s="174" t="s">
        <v>337</v>
      </c>
      <c r="E108" s="156" t="s">
        <v>338</v>
      </c>
      <c r="F108" s="159">
        <v>13.82</v>
      </c>
      <c r="G108" s="156">
        <v>48</v>
      </c>
      <c r="H108" s="156">
        <v>0</v>
      </c>
      <c r="I108" s="156">
        <v>0</v>
      </c>
      <c r="J108" s="156">
        <v>0</v>
      </c>
      <c r="K108" s="156">
        <f t="shared" si="15"/>
        <v>48</v>
      </c>
      <c r="L108" s="160">
        <f t="shared" si="16"/>
        <v>663.36</v>
      </c>
      <c r="M108" s="160">
        <f t="shared" si="16"/>
        <v>0</v>
      </c>
      <c r="N108" s="160">
        <f t="shared" si="16"/>
        <v>0</v>
      </c>
      <c r="O108" s="160">
        <f t="shared" si="16"/>
        <v>0</v>
      </c>
      <c r="P108" s="160">
        <f t="shared" si="17"/>
        <v>663.36</v>
      </c>
      <c r="Q108" s="161"/>
      <c r="R108" s="136"/>
      <c r="S108" s="108" t="str">
        <f t="shared" si="18"/>
        <v>Materiais e EPIs/EPCs (sob demanda)</v>
      </c>
      <c r="T108" s="110"/>
    </row>
    <row r="109" spans="1:20" ht="153">
      <c r="A109" s="155">
        <v>71</v>
      </c>
      <c r="B109" s="172" t="s">
        <v>183</v>
      </c>
      <c r="C109" s="173" t="s">
        <v>339</v>
      </c>
      <c r="D109" s="174" t="s">
        <v>340</v>
      </c>
      <c r="E109" s="156" t="s">
        <v>216</v>
      </c>
      <c r="F109" s="159">
        <v>6.41</v>
      </c>
      <c r="G109" s="156">
        <v>6</v>
      </c>
      <c r="H109" s="156">
        <v>0</v>
      </c>
      <c r="I109" s="156">
        <v>0</v>
      </c>
      <c r="J109" s="156">
        <v>0</v>
      </c>
      <c r="K109" s="156">
        <f t="shared" si="15"/>
        <v>6</v>
      </c>
      <c r="L109" s="160">
        <f t="shared" si="16"/>
        <v>38.46</v>
      </c>
      <c r="M109" s="160">
        <f t="shared" si="16"/>
        <v>0</v>
      </c>
      <c r="N109" s="160">
        <f t="shared" si="16"/>
        <v>0</v>
      </c>
      <c r="O109" s="160">
        <f t="shared" si="16"/>
        <v>0</v>
      </c>
      <c r="P109" s="160">
        <f t="shared" si="17"/>
        <v>38.46</v>
      </c>
      <c r="Q109" s="161"/>
      <c r="R109" s="136"/>
      <c r="S109" s="108" t="str">
        <f t="shared" si="18"/>
        <v>Materiais e EPIs/EPCs (sob demanda)</v>
      </c>
      <c r="T109" s="110"/>
    </row>
    <row r="110" spans="1:20" ht="102">
      <c r="A110" s="155">
        <v>72</v>
      </c>
      <c r="B110" s="172" t="s">
        <v>183</v>
      </c>
      <c r="C110" s="173" t="s">
        <v>341</v>
      </c>
      <c r="D110" s="174" t="s">
        <v>342</v>
      </c>
      <c r="E110" s="156" t="s">
        <v>343</v>
      </c>
      <c r="F110" s="159">
        <v>45.17</v>
      </c>
      <c r="G110" s="156">
        <v>10</v>
      </c>
      <c r="H110" s="156">
        <v>0</v>
      </c>
      <c r="I110" s="156">
        <v>0</v>
      </c>
      <c r="J110" s="156">
        <v>0</v>
      </c>
      <c r="K110" s="156">
        <f t="shared" si="15"/>
        <v>10</v>
      </c>
      <c r="L110" s="160">
        <f t="shared" si="16"/>
        <v>451.70000000000005</v>
      </c>
      <c r="M110" s="160">
        <f t="shared" si="16"/>
        <v>0</v>
      </c>
      <c r="N110" s="160">
        <f t="shared" si="16"/>
        <v>0</v>
      </c>
      <c r="O110" s="160">
        <f t="shared" si="16"/>
        <v>0</v>
      </c>
      <c r="P110" s="160">
        <f t="shared" si="17"/>
        <v>451.70000000000005</v>
      </c>
      <c r="Q110" s="161"/>
      <c r="R110" s="136"/>
      <c r="S110" s="108" t="str">
        <f t="shared" si="18"/>
        <v>Materiais e EPIs/EPCs (sob demanda)</v>
      </c>
      <c r="T110" s="110"/>
    </row>
    <row r="111" spans="1:20" ht="140.25">
      <c r="A111" s="155">
        <v>73</v>
      </c>
      <c r="B111" s="172" t="s">
        <v>183</v>
      </c>
      <c r="C111" s="173" t="s">
        <v>344</v>
      </c>
      <c r="D111" s="174" t="s">
        <v>22</v>
      </c>
      <c r="E111" s="156" t="s">
        <v>216</v>
      </c>
      <c r="F111" s="159">
        <v>22.26</v>
      </c>
      <c r="G111" s="156">
        <v>6</v>
      </c>
      <c r="H111" s="156">
        <v>0</v>
      </c>
      <c r="I111" s="156">
        <v>0</v>
      </c>
      <c r="J111" s="156">
        <v>0</v>
      </c>
      <c r="K111" s="156">
        <f t="shared" si="15"/>
        <v>6</v>
      </c>
      <c r="L111" s="160">
        <f t="shared" si="16"/>
        <v>133.56</v>
      </c>
      <c r="M111" s="160">
        <f t="shared" si="16"/>
        <v>0</v>
      </c>
      <c r="N111" s="160">
        <f t="shared" si="16"/>
        <v>0</v>
      </c>
      <c r="O111" s="160">
        <f t="shared" si="16"/>
        <v>0</v>
      </c>
      <c r="P111" s="160">
        <f t="shared" si="17"/>
        <v>133.56</v>
      </c>
      <c r="Q111" s="161"/>
      <c r="R111" s="136"/>
      <c r="S111" s="108" t="str">
        <f t="shared" si="18"/>
        <v>Materiais e EPIs/EPCs (sob demanda)</v>
      </c>
      <c r="T111" s="110"/>
    </row>
    <row r="112" spans="1:20" ht="255">
      <c r="A112" s="155">
        <v>74</v>
      </c>
      <c r="B112" s="172" t="s">
        <v>183</v>
      </c>
      <c r="C112" s="173" t="s">
        <v>345</v>
      </c>
      <c r="D112" s="174" t="s">
        <v>346</v>
      </c>
      <c r="E112" s="156" t="s">
        <v>216</v>
      </c>
      <c r="F112" s="159">
        <v>1.78</v>
      </c>
      <c r="G112" s="156">
        <v>10</v>
      </c>
      <c r="H112" s="156">
        <v>0</v>
      </c>
      <c r="I112" s="156">
        <v>0</v>
      </c>
      <c r="J112" s="156">
        <v>0</v>
      </c>
      <c r="K112" s="156">
        <f t="shared" si="15"/>
        <v>10</v>
      </c>
      <c r="L112" s="160">
        <f t="shared" si="16"/>
        <v>17.8</v>
      </c>
      <c r="M112" s="160">
        <f t="shared" si="16"/>
        <v>0</v>
      </c>
      <c r="N112" s="160">
        <f t="shared" si="16"/>
        <v>0</v>
      </c>
      <c r="O112" s="160">
        <f t="shared" si="16"/>
        <v>0</v>
      </c>
      <c r="P112" s="160">
        <f t="shared" si="17"/>
        <v>17.8</v>
      </c>
      <c r="Q112" s="161"/>
      <c r="R112" s="136"/>
      <c r="S112" s="108" t="str">
        <f t="shared" si="18"/>
        <v>Materiais e EPIs/EPCs (sob demanda)</v>
      </c>
      <c r="T112" s="110"/>
    </row>
    <row r="113" spans="1:37">
      <c r="A113" s="259" t="s">
        <v>347</v>
      </c>
      <c r="B113" s="260"/>
      <c r="C113" s="260"/>
      <c r="D113" s="260"/>
      <c r="E113" s="260"/>
      <c r="F113" s="260"/>
      <c r="G113" s="260"/>
      <c r="H113" s="260"/>
      <c r="I113" s="260"/>
      <c r="J113" s="260"/>
      <c r="K113" s="261"/>
      <c r="L113" s="166">
        <f>SUM(L39:L112)</f>
        <v>150410.03999999995</v>
      </c>
      <c r="M113" s="166">
        <f>SUM(M39:M112)</f>
        <v>180.76</v>
      </c>
      <c r="N113" s="166">
        <f>SUM(N39:N112)</f>
        <v>90.38</v>
      </c>
      <c r="O113" s="166">
        <f>SUM(O39:O112)</f>
        <v>0</v>
      </c>
      <c r="P113" s="166">
        <f>SUM(P39:P112)</f>
        <v>150681.17999999996</v>
      </c>
      <c r="Q113" s="153"/>
      <c r="R113" s="136"/>
      <c r="T113" s="110"/>
    </row>
    <row r="114" spans="1:37">
      <c r="A114" s="259" t="s">
        <v>348</v>
      </c>
      <c r="B114" s="260"/>
      <c r="C114" s="260"/>
      <c r="D114" s="260"/>
      <c r="E114" s="260"/>
      <c r="F114" s="260"/>
      <c r="G114" s="260"/>
      <c r="H114" s="260"/>
      <c r="I114" s="260"/>
      <c r="J114" s="260"/>
      <c r="K114" s="261"/>
      <c r="L114" s="166">
        <f>L113/12</f>
        <v>12534.169999999996</v>
      </c>
      <c r="M114" s="166">
        <f t="shared" ref="M114:P114" si="19">M113/12</f>
        <v>15.063333333333333</v>
      </c>
      <c r="N114" s="166">
        <f t="shared" si="19"/>
        <v>7.5316666666666663</v>
      </c>
      <c r="O114" s="166">
        <f t="shared" si="19"/>
        <v>0</v>
      </c>
      <c r="P114" s="166">
        <f t="shared" si="19"/>
        <v>12556.764999999998</v>
      </c>
      <c r="Q114" s="153"/>
      <c r="R114" s="136"/>
      <c r="T114" s="110"/>
    </row>
    <row r="115" spans="1:37">
      <c r="A115" s="259" t="s">
        <v>349</v>
      </c>
      <c r="B115" s="260"/>
      <c r="C115" s="260"/>
      <c r="D115" s="260"/>
      <c r="E115" s="260"/>
      <c r="F115" s="260"/>
      <c r="G115" s="260"/>
      <c r="H115" s="260"/>
      <c r="I115" s="260"/>
      <c r="J115" s="260"/>
      <c r="K115" s="261"/>
      <c r="L115" s="167">
        <f>L114/S9</f>
        <v>1139.4699999999996</v>
      </c>
      <c r="M115" s="167">
        <f>IF(ISERR(ROUND(M114/$S$10,2)),0,ROUND(M114/$S$10,2))</f>
        <v>7.53</v>
      </c>
      <c r="N115" s="167">
        <f>IF(ISERR(ROUND(N114/$S$11,2)),0,ROUND(N114/$S$11,2))</f>
        <v>7.53</v>
      </c>
      <c r="O115" s="167">
        <f>IF(ISERR(ROUND(O114/$S$12,2)),0,ROUND(O114/$S$12,2))</f>
        <v>0</v>
      </c>
      <c r="P115" s="168" t="s">
        <v>22</v>
      </c>
      <c r="Q115" s="169"/>
      <c r="R115" s="136"/>
      <c r="T115" s="110"/>
    </row>
    <row r="116" spans="1:37">
      <c r="A116" s="170"/>
      <c r="B116" s="170"/>
      <c r="C116" s="170"/>
      <c r="D116" s="170"/>
      <c r="E116" s="170"/>
      <c r="F116" s="170"/>
      <c r="G116" s="170"/>
      <c r="H116" s="170"/>
      <c r="I116" s="170"/>
      <c r="J116" s="170"/>
      <c r="K116" s="170"/>
      <c r="L116" s="153"/>
      <c r="M116" s="153"/>
      <c r="N116" s="153"/>
      <c r="O116" s="153"/>
      <c r="P116" s="169"/>
      <c r="Q116" s="169"/>
      <c r="R116" s="136"/>
      <c r="T116" s="110"/>
    </row>
    <row r="117" spans="1:37">
      <c r="A117" s="170"/>
      <c r="B117" s="171"/>
      <c r="C117" s="171"/>
      <c r="D117" s="171"/>
      <c r="E117" s="171"/>
      <c r="F117" s="170"/>
      <c r="G117" s="169"/>
      <c r="H117" s="169"/>
      <c r="I117" s="169"/>
      <c r="J117" s="169"/>
      <c r="K117" s="169"/>
      <c r="L117" s="153"/>
      <c r="M117" s="153"/>
      <c r="N117" s="153"/>
      <c r="O117" s="153"/>
      <c r="P117" s="153"/>
      <c r="Q117" s="153"/>
      <c r="R117" s="136"/>
      <c r="T117" s="110"/>
    </row>
    <row r="118" spans="1:37">
      <c r="A118" s="170"/>
      <c r="B118" s="171"/>
      <c r="C118" s="171"/>
      <c r="D118" s="171"/>
      <c r="E118" s="171"/>
      <c r="F118" s="170"/>
      <c r="G118" s="169"/>
      <c r="H118" s="169"/>
      <c r="I118" s="169"/>
      <c r="J118" s="169"/>
      <c r="K118" s="169"/>
      <c r="L118" s="153"/>
      <c r="M118" s="153"/>
      <c r="N118" s="153"/>
      <c r="O118" s="153"/>
      <c r="P118" s="153"/>
      <c r="Q118" s="153"/>
      <c r="R118" s="136"/>
      <c r="T118" s="110"/>
    </row>
    <row r="119" spans="1:37">
      <c r="A119" s="148" t="s">
        <v>198</v>
      </c>
      <c r="R119" s="136"/>
      <c r="T119" s="110"/>
    </row>
    <row r="120" spans="1:37">
      <c r="R120" s="136"/>
      <c r="T120" s="110"/>
    </row>
    <row r="121" spans="1:37">
      <c r="G121" s="275" t="str">
        <f>G14</f>
        <v>Qtde. anual por tipo de posto</v>
      </c>
      <c r="H121" s="276"/>
      <c r="I121" s="276"/>
      <c r="J121" s="276"/>
      <c r="K121" s="277"/>
      <c r="L121" s="262" t="str">
        <f>L14</f>
        <v>Custo anual por tipo de posto (R$)</v>
      </c>
      <c r="M121" s="263"/>
      <c r="N121" s="263"/>
      <c r="O121" s="263"/>
      <c r="P121" s="264"/>
      <c r="Q121" s="140"/>
      <c r="R121" s="136"/>
      <c r="T121" s="110"/>
    </row>
    <row r="122" spans="1:37" ht="38.25">
      <c r="A122" s="149" t="s">
        <v>2</v>
      </c>
      <c r="B122" s="149" t="s">
        <v>205</v>
      </c>
      <c r="C122" s="149" t="s">
        <v>206</v>
      </c>
      <c r="D122" s="149" t="s">
        <v>207</v>
      </c>
      <c r="E122" s="149" t="s">
        <v>208</v>
      </c>
      <c r="F122" s="151" t="s">
        <v>209</v>
      </c>
      <c r="G122" s="149" t="s">
        <v>210</v>
      </c>
      <c r="H122" s="149" t="s">
        <v>211</v>
      </c>
      <c r="I122" s="149" t="s">
        <v>200</v>
      </c>
      <c r="J122" s="149" t="s">
        <v>202</v>
      </c>
      <c r="K122" s="149" t="s">
        <v>201</v>
      </c>
      <c r="L122" s="175" t="str">
        <f>$G$23</f>
        <v>Serv. limpeza</v>
      </c>
      <c r="M122" s="152" t="str">
        <f>$H$23</f>
        <v>Serv. limpeza insalub.</v>
      </c>
      <c r="N122" s="152" t="str">
        <f>$I$23</f>
        <v>Encarregado</v>
      </c>
      <c r="O122" s="152" t="str">
        <f>$J$23</f>
        <v>Supervisor</v>
      </c>
      <c r="P122" s="152" t="str">
        <f>$K$23</f>
        <v>Total</v>
      </c>
      <c r="Q122" s="153"/>
      <c r="R122" s="136"/>
      <c r="S122" s="154" t="str">
        <f>S$15</f>
        <v>Grupo de insumos</v>
      </c>
      <c r="T122" s="110"/>
      <c r="AB122" s="138"/>
      <c r="AC122" s="138"/>
      <c r="AD122" s="138"/>
      <c r="AE122" s="138"/>
      <c r="AF122" s="138"/>
      <c r="AG122" s="138"/>
      <c r="AH122" s="138"/>
      <c r="AI122" s="138"/>
      <c r="AJ122" s="138"/>
      <c r="AK122" s="138"/>
    </row>
    <row r="123" spans="1:37" ht="140.25">
      <c r="A123" s="155">
        <v>1</v>
      </c>
      <c r="B123" s="156" t="s">
        <v>127</v>
      </c>
      <c r="C123" s="173" t="s">
        <v>350</v>
      </c>
      <c r="D123" s="174" t="s">
        <v>351</v>
      </c>
      <c r="E123" s="156" t="s">
        <v>216</v>
      </c>
      <c r="F123" s="159">
        <v>407.55</v>
      </c>
      <c r="G123" s="156">
        <v>1</v>
      </c>
      <c r="H123" s="156">
        <v>0</v>
      </c>
      <c r="I123" s="156">
        <v>0</v>
      </c>
      <c r="J123" s="156">
        <v>0</v>
      </c>
      <c r="K123" s="156">
        <f>SUM(G123:J123)</f>
        <v>1</v>
      </c>
      <c r="L123" s="176">
        <f t="shared" ref="L123:O125" si="20">$F123*G123</f>
        <v>407.55</v>
      </c>
      <c r="M123" s="160">
        <f t="shared" si="20"/>
        <v>0</v>
      </c>
      <c r="N123" s="160">
        <f t="shared" si="20"/>
        <v>0</v>
      </c>
      <c r="O123" s="160">
        <f t="shared" si="20"/>
        <v>0</v>
      </c>
      <c r="P123" s="160">
        <f t="shared" ref="P123:P125" si="21">SUM(L123:O123)</f>
        <v>407.55</v>
      </c>
      <c r="Q123" s="161"/>
      <c r="R123" s="136"/>
      <c r="S123" s="108" t="str">
        <f>$D$10</f>
        <v>Equipamentos (sob demanda)</v>
      </c>
      <c r="T123" s="162" t="str">
        <f>S123</f>
        <v>Equipamentos (sob demanda)</v>
      </c>
    </row>
    <row r="124" spans="1:37" ht="63.75">
      <c r="A124" s="155">
        <v>2</v>
      </c>
      <c r="B124" s="156" t="s">
        <v>127</v>
      </c>
      <c r="C124" s="173" t="s">
        <v>352</v>
      </c>
      <c r="D124" s="174" t="s">
        <v>353</v>
      </c>
      <c r="E124" s="156" t="s">
        <v>216</v>
      </c>
      <c r="F124" s="159">
        <v>245.77</v>
      </c>
      <c r="G124" s="156">
        <v>1</v>
      </c>
      <c r="H124" s="156">
        <v>0</v>
      </c>
      <c r="I124" s="156">
        <v>0</v>
      </c>
      <c r="J124" s="156">
        <v>0</v>
      </c>
      <c r="K124" s="156">
        <f t="shared" ref="K124:K127" si="22">SUM(G124:J124)</f>
        <v>1</v>
      </c>
      <c r="L124" s="176">
        <f t="shared" si="20"/>
        <v>245.77</v>
      </c>
      <c r="M124" s="160">
        <f t="shared" si="20"/>
        <v>0</v>
      </c>
      <c r="N124" s="160">
        <f t="shared" si="20"/>
        <v>0</v>
      </c>
      <c r="O124" s="160">
        <f t="shared" si="20"/>
        <v>0</v>
      </c>
      <c r="P124" s="160">
        <f t="shared" si="21"/>
        <v>245.77</v>
      </c>
      <c r="Q124" s="161"/>
      <c r="R124" s="136"/>
      <c r="S124" s="108" t="str">
        <f t="shared" ref="S124:S127" si="23">$D$10</f>
        <v>Equipamentos (sob demanda)</v>
      </c>
      <c r="T124" s="110"/>
    </row>
    <row r="125" spans="1:37" ht="38.25">
      <c r="A125" s="155">
        <v>3</v>
      </c>
      <c r="B125" s="156" t="s">
        <v>127</v>
      </c>
      <c r="C125" s="173" t="s">
        <v>354</v>
      </c>
      <c r="D125" s="174" t="s">
        <v>22</v>
      </c>
      <c r="E125" s="156" t="s">
        <v>216</v>
      </c>
      <c r="F125" s="159">
        <v>235.59</v>
      </c>
      <c r="G125" s="156">
        <v>1</v>
      </c>
      <c r="H125" s="156">
        <v>0</v>
      </c>
      <c r="I125" s="156">
        <v>0</v>
      </c>
      <c r="J125" s="156">
        <v>0</v>
      </c>
      <c r="K125" s="156">
        <f t="shared" si="22"/>
        <v>1</v>
      </c>
      <c r="L125" s="176">
        <f t="shared" si="20"/>
        <v>235.59</v>
      </c>
      <c r="M125" s="160">
        <f t="shared" si="20"/>
        <v>0</v>
      </c>
      <c r="N125" s="160">
        <f t="shared" si="20"/>
        <v>0</v>
      </c>
      <c r="O125" s="160">
        <f t="shared" si="20"/>
        <v>0</v>
      </c>
      <c r="P125" s="160">
        <f t="shared" si="21"/>
        <v>235.59</v>
      </c>
      <c r="Q125" s="161"/>
      <c r="R125" s="136"/>
      <c r="S125" s="108" t="str">
        <f t="shared" si="23"/>
        <v>Equipamentos (sob demanda)</v>
      </c>
      <c r="T125" s="110"/>
    </row>
    <row r="126" spans="1:37" ht="165.75">
      <c r="A126" s="155">
        <v>4</v>
      </c>
      <c r="B126" s="156" t="s">
        <v>127</v>
      </c>
      <c r="C126" s="173" t="s">
        <v>355</v>
      </c>
      <c r="D126" s="174" t="s">
        <v>356</v>
      </c>
      <c r="E126" s="156" t="s">
        <v>216</v>
      </c>
      <c r="F126" s="159">
        <v>1236.31</v>
      </c>
      <c r="G126" s="156">
        <v>1</v>
      </c>
      <c r="H126" s="156">
        <v>0</v>
      </c>
      <c r="I126" s="156">
        <v>0</v>
      </c>
      <c r="J126" s="156">
        <v>0</v>
      </c>
      <c r="K126" s="156">
        <f t="shared" si="22"/>
        <v>1</v>
      </c>
      <c r="L126" s="176">
        <f t="shared" ref="L126:O127" si="24">$F126*G126</f>
        <v>1236.31</v>
      </c>
      <c r="M126" s="160">
        <f t="shared" si="24"/>
        <v>0</v>
      </c>
      <c r="N126" s="160">
        <f t="shared" si="24"/>
        <v>0</v>
      </c>
      <c r="O126" s="160">
        <f t="shared" si="24"/>
        <v>0</v>
      </c>
      <c r="P126" s="160">
        <f t="shared" ref="P126:P127" si="25">SUM(L126:O126)</f>
        <v>1236.31</v>
      </c>
      <c r="Q126" s="161"/>
      <c r="R126" s="136"/>
      <c r="S126" s="108" t="str">
        <f t="shared" si="23"/>
        <v>Equipamentos (sob demanda)</v>
      </c>
      <c r="T126" s="110"/>
    </row>
    <row r="127" spans="1:37" ht="38.25">
      <c r="A127" s="155">
        <v>5</v>
      </c>
      <c r="B127" s="156" t="s">
        <v>127</v>
      </c>
      <c r="C127" s="173" t="s">
        <v>357</v>
      </c>
      <c r="D127" s="174" t="s">
        <v>226</v>
      </c>
      <c r="E127" s="156" t="s">
        <v>216</v>
      </c>
      <c r="F127" s="159">
        <v>852.66</v>
      </c>
      <c r="G127" s="156">
        <v>1</v>
      </c>
      <c r="H127" s="156">
        <v>0</v>
      </c>
      <c r="I127" s="156">
        <v>0</v>
      </c>
      <c r="J127" s="156">
        <v>0</v>
      </c>
      <c r="K127" s="156">
        <f t="shared" si="22"/>
        <v>1</v>
      </c>
      <c r="L127" s="176">
        <f t="shared" si="24"/>
        <v>852.66</v>
      </c>
      <c r="M127" s="160">
        <f t="shared" si="24"/>
        <v>0</v>
      </c>
      <c r="N127" s="160">
        <f t="shared" si="24"/>
        <v>0</v>
      </c>
      <c r="O127" s="160">
        <f t="shared" si="24"/>
        <v>0</v>
      </c>
      <c r="P127" s="160">
        <f t="shared" si="25"/>
        <v>852.66</v>
      </c>
      <c r="Q127" s="161"/>
      <c r="R127" s="136"/>
      <c r="S127" s="108" t="str">
        <f t="shared" si="23"/>
        <v>Equipamentos (sob demanda)</v>
      </c>
      <c r="T127" s="110"/>
    </row>
    <row r="128" spans="1:37">
      <c r="A128" s="272" t="s">
        <v>358</v>
      </c>
      <c r="B128" s="260"/>
      <c r="C128" s="260"/>
      <c r="D128" s="260"/>
      <c r="E128" s="260"/>
      <c r="F128" s="260"/>
      <c r="G128" s="260"/>
      <c r="H128" s="260"/>
      <c r="I128" s="260"/>
      <c r="J128" s="260"/>
      <c r="K128" s="261"/>
      <c r="L128" s="166">
        <f>SUM(L123:L127)</f>
        <v>2977.88</v>
      </c>
      <c r="M128" s="166">
        <f>SUM(M123:M127)</f>
        <v>0</v>
      </c>
      <c r="N128" s="166">
        <f>SUM(N123:N127)</f>
        <v>0</v>
      </c>
      <c r="O128" s="166">
        <f>SUM(O123:O127)</f>
        <v>0</v>
      </c>
      <c r="P128" s="166">
        <f>SUM(P123:P127)</f>
        <v>2977.88</v>
      </c>
      <c r="Q128" s="153"/>
      <c r="R128" s="136"/>
      <c r="T128" s="110"/>
    </row>
    <row r="129" spans="1:20">
      <c r="A129" s="273" t="s">
        <v>359</v>
      </c>
      <c r="B129" s="260"/>
      <c r="C129" s="260"/>
      <c r="D129" s="260"/>
      <c r="E129" s="260"/>
      <c r="F129" s="260"/>
      <c r="G129" s="260"/>
      <c r="H129" s="260"/>
      <c r="I129" s="260"/>
      <c r="J129" s="260"/>
      <c r="K129" s="261"/>
      <c r="L129" s="177">
        <f>(L128-(L128*20%))/8/12</f>
        <v>24.815666666666669</v>
      </c>
      <c r="M129" s="166"/>
      <c r="N129" s="166"/>
      <c r="O129" s="166"/>
      <c r="P129" s="166"/>
      <c r="Q129" s="153"/>
      <c r="R129" s="136"/>
      <c r="T129" s="110"/>
    </row>
    <row r="130" spans="1:20">
      <c r="A130" s="259" t="s">
        <v>360</v>
      </c>
      <c r="B130" s="260"/>
      <c r="C130" s="260"/>
      <c r="D130" s="260"/>
      <c r="E130" s="260"/>
      <c r="F130" s="260"/>
      <c r="G130" s="260"/>
      <c r="H130" s="260"/>
      <c r="I130" s="260"/>
      <c r="J130" s="260"/>
      <c r="K130" s="261"/>
      <c r="L130" s="177">
        <f>L128*0.5%</f>
        <v>14.8894</v>
      </c>
      <c r="M130" s="166">
        <f t="shared" ref="M130:O130" si="26">M128/12</f>
        <v>0</v>
      </c>
      <c r="N130" s="166">
        <f t="shared" si="26"/>
        <v>0</v>
      </c>
      <c r="O130" s="166">
        <f t="shared" si="26"/>
        <v>0</v>
      </c>
      <c r="P130" s="166"/>
      <c r="Q130" s="153"/>
      <c r="R130" s="136"/>
      <c r="T130" s="110"/>
    </row>
    <row r="131" spans="1:20">
      <c r="A131" s="272" t="s">
        <v>361</v>
      </c>
      <c r="B131" s="260"/>
      <c r="C131" s="260"/>
      <c r="D131" s="260"/>
      <c r="E131" s="260"/>
      <c r="F131" s="260"/>
      <c r="G131" s="260"/>
      <c r="H131" s="260"/>
      <c r="I131" s="260"/>
      <c r="J131" s="260"/>
      <c r="K131" s="261"/>
      <c r="L131" s="177">
        <f>L129+L130</f>
        <v>39.705066666666667</v>
      </c>
      <c r="M131" s="166"/>
      <c r="N131" s="166"/>
      <c r="O131" s="166"/>
      <c r="P131" s="166"/>
      <c r="Q131" s="153"/>
      <c r="R131" s="136"/>
      <c r="T131" s="110"/>
    </row>
    <row r="132" spans="1:20">
      <c r="A132" s="272" t="s">
        <v>362</v>
      </c>
      <c r="B132" s="260"/>
      <c r="C132" s="260"/>
      <c r="D132" s="260"/>
      <c r="E132" s="260"/>
      <c r="F132" s="260"/>
      <c r="G132" s="260"/>
      <c r="H132" s="260"/>
      <c r="I132" s="260"/>
      <c r="J132" s="260"/>
      <c r="K132" s="261"/>
      <c r="L132" s="167">
        <f>L131/S9</f>
        <v>3.6095515151515154</v>
      </c>
      <c r="M132" s="167">
        <f>IF(ISERR(ROUND(M130/$S$10,2)),0,ROUND(M130/$S$10,2))</f>
        <v>0</v>
      </c>
      <c r="N132" s="167">
        <f>IF(ISERR(ROUND(N130/$S$11,2)),0,ROUND(N130/$S$11,2))</f>
        <v>0</v>
      </c>
      <c r="O132" s="167">
        <f>IF(ISERR(ROUND(O130/$S$12,2)),0,ROUND(O130/$S$12,2))</f>
        <v>0</v>
      </c>
      <c r="P132" s="168" t="s">
        <v>22</v>
      </c>
      <c r="Q132" s="169"/>
      <c r="R132" s="136"/>
      <c r="T132" s="110"/>
    </row>
    <row r="133" spans="1:20">
      <c r="R133" s="136"/>
      <c r="T133" s="110"/>
    </row>
    <row r="134" spans="1:20">
      <c r="R134" s="136"/>
      <c r="T134" s="110"/>
    </row>
    <row r="135" spans="1:20" ht="42" customHeight="1">
      <c r="A135" s="274" t="s">
        <v>363</v>
      </c>
      <c r="B135" s="274"/>
      <c r="C135" s="274"/>
      <c r="D135" s="274"/>
      <c r="E135" s="274"/>
      <c r="F135" s="274"/>
      <c r="G135" s="274"/>
      <c r="H135" s="274"/>
      <c r="I135" s="274"/>
      <c r="J135" s="274"/>
      <c r="K135" s="274"/>
      <c r="L135" s="274"/>
      <c r="M135" s="274"/>
      <c r="N135" s="274"/>
      <c r="O135" s="274"/>
      <c r="P135" s="274"/>
      <c r="R135" s="136"/>
      <c r="T135" s="110"/>
    </row>
  </sheetData>
  <mergeCells count="36">
    <mergeCell ref="A132:K132"/>
    <mergeCell ref="A129:K129"/>
    <mergeCell ref="A135:P135"/>
    <mergeCell ref="A131:K131"/>
    <mergeCell ref="A115:K115"/>
    <mergeCell ref="G121:K121"/>
    <mergeCell ref="L121:P121"/>
    <mergeCell ref="A128:K128"/>
    <mergeCell ref="A130:K130"/>
    <mergeCell ref="A114:K114"/>
    <mergeCell ref="L14:P14"/>
    <mergeCell ref="A17:P17"/>
    <mergeCell ref="A18:P18"/>
    <mergeCell ref="G22:K22"/>
    <mergeCell ref="L22:P22"/>
    <mergeCell ref="A29:K29"/>
    <mergeCell ref="G14:K14"/>
    <mergeCell ref="A30:K30"/>
    <mergeCell ref="A31:K31"/>
    <mergeCell ref="G37:K37"/>
    <mergeCell ref="L37:P37"/>
    <mergeCell ref="A113:K113"/>
    <mergeCell ref="D8:F8"/>
    <mergeCell ref="D9:F9"/>
    <mergeCell ref="D10:F10"/>
    <mergeCell ref="D11:F11"/>
    <mergeCell ref="D12:F12"/>
    <mergeCell ref="AK3:AL6"/>
    <mergeCell ref="A4:P4"/>
    <mergeCell ref="G6:K6"/>
    <mergeCell ref="L6:O6"/>
    <mergeCell ref="A1:D2"/>
    <mergeCell ref="E1:P1"/>
    <mergeCell ref="U1:W1"/>
    <mergeCell ref="T2:W3"/>
    <mergeCell ref="AJ3:AJ6"/>
  </mergeCells>
  <conditionalFormatting sqref="A4:P4">
    <cfRule type="cellIs" dxfId="5" priority="1" operator="notEqual">
      <formula>""</formula>
    </cfRule>
  </conditionalFormatting>
  <conditionalFormatting sqref="AK23:AK135">
    <cfRule type="cellIs" dxfId="4" priority="2" operator="equal">
      <formula>"Acima do estimado"</formula>
    </cfRule>
    <cfRule type="cellIs" dxfId="3" priority="3" operator="equal">
      <formula>"Indício de inexequibilidade. Justificativa."</formula>
    </cfRule>
  </conditionalFormatting>
  <pageMargins left="0.511811024" right="0.511811024" top="0.78740157499999996" bottom="0.78740157499999996" header="0.31496062000000002" footer="0.31496062000000002"/>
  <pageSetup paperSize="9" scale="2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527C5-3A1D-44B9-8AD8-5BF52C4D5DFB}">
  <sheetPr>
    <pageSetUpPr fitToPage="1"/>
  </sheetPr>
  <dimension ref="A1:K167"/>
  <sheetViews>
    <sheetView topLeftCell="A109" workbookViewId="0">
      <selection activeCell="C164" sqref="C164"/>
    </sheetView>
  </sheetViews>
  <sheetFormatPr defaultColWidth="9.140625" defaultRowHeight="12.75"/>
  <cols>
    <col min="1" max="1" width="10" customWidth="1"/>
    <col min="2" max="2" width="11.42578125" customWidth="1"/>
    <col min="3" max="3" width="15" customWidth="1"/>
    <col min="4" max="4" width="14.140625" customWidth="1"/>
    <col min="5" max="5" width="17.5703125" customWidth="1"/>
    <col min="6" max="6" width="14.5703125" customWidth="1"/>
    <col min="7" max="7" width="19.140625" customWidth="1"/>
    <col min="8" max="8" width="11" bestFit="1" customWidth="1"/>
    <col min="9" max="9" width="13.42578125" customWidth="1"/>
    <col min="10" max="10" width="9.5703125" customWidth="1"/>
    <col min="11" max="11" width="14" customWidth="1"/>
    <col min="13" max="13" width="9.5703125" customWidth="1"/>
  </cols>
  <sheetData>
    <row r="1" spans="1:9">
      <c r="A1" s="202"/>
      <c r="B1" s="202"/>
      <c r="C1" s="202"/>
      <c r="D1" s="202"/>
      <c r="E1" s="202"/>
      <c r="F1" s="202"/>
      <c r="G1" s="202"/>
      <c r="H1" s="202"/>
      <c r="I1" s="202"/>
    </row>
    <row r="2" spans="1:9">
      <c r="A2" s="203" t="s">
        <v>522</v>
      </c>
      <c r="B2" s="203"/>
      <c r="C2" s="203"/>
      <c r="D2" s="203"/>
      <c r="E2" s="203"/>
      <c r="F2" s="203"/>
      <c r="G2" s="203"/>
      <c r="H2" s="203"/>
      <c r="I2" s="203"/>
    </row>
    <row r="3" spans="1:9">
      <c r="A3" s="9"/>
      <c r="B3" s="9"/>
      <c r="C3" s="9"/>
      <c r="D3" s="9"/>
      <c r="E3" s="9"/>
      <c r="F3" s="9"/>
      <c r="G3" s="9"/>
      <c r="H3" s="9"/>
      <c r="I3" s="9"/>
    </row>
    <row r="4" spans="1:9">
      <c r="A4" s="200" t="s">
        <v>19</v>
      </c>
      <c r="B4" s="200"/>
      <c r="C4" s="200"/>
      <c r="D4" s="200"/>
      <c r="E4" s="200"/>
      <c r="F4" s="200"/>
      <c r="G4" s="200"/>
      <c r="H4" s="200"/>
      <c r="I4" s="200"/>
    </row>
    <row r="5" spans="1:9">
      <c r="A5" s="2" t="s">
        <v>20</v>
      </c>
      <c r="B5" s="201" t="s">
        <v>21</v>
      </c>
      <c r="C5" s="201"/>
      <c r="D5" s="201"/>
      <c r="E5" s="201"/>
      <c r="F5" s="201"/>
      <c r="G5" s="201"/>
      <c r="H5" s="204" t="s">
        <v>22</v>
      </c>
      <c r="I5" s="199"/>
    </row>
    <row r="6" spans="1:9">
      <c r="A6" s="2" t="s">
        <v>23</v>
      </c>
      <c r="B6" s="201" t="s">
        <v>24</v>
      </c>
      <c r="C6" s="201"/>
      <c r="D6" s="201"/>
      <c r="E6" s="201"/>
      <c r="F6" s="201"/>
      <c r="G6" s="201"/>
      <c r="H6" s="199" t="s">
        <v>25</v>
      </c>
      <c r="I6" s="199"/>
    </row>
    <row r="7" spans="1:9">
      <c r="A7" s="2" t="s">
        <v>26</v>
      </c>
      <c r="B7" s="201" t="s">
        <v>27</v>
      </c>
      <c r="C7" s="201"/>
      <c r="D7" s="201"/>
      <c r="E7" s="201"/>
      <c r="F7" s="201"/>
      <c r="G7" s="201"/>
      <c r="H7" s="197" t="s">
        <v>28</v>
      </c>
      <c r="I7" s="199"/>
    </row>
    <row r="8" spans="1:9">
      <c r="A8" s="2" t="s">
        <v>29</v>
      </c>
      <c r="B8" s="201" t="s">
        <v>30</v>
      </c>
      <c r="C8" s="201"/>
      <c r="D8" s="201"/>
      <c r="E8" s="201"/>
      <c r="F8" s="201"/>
      <c r="G8" s="201"/>
      <c r="H8" s="199">
        <v>24</v>
      </c>
      <c r="I8" s="199"/>
    </row>
    <row r="9" spans="1:9">
      <c r="A9" s="10"/>
      <c r="B9" s="9"/>
      <c r="C9" s="9"/>
      <c r="D9" s="9"/>
      <c r="E9" s="9"/>
      <c r="F9" s="9"/>
      <c r="G9" s="9"/>
      <c r="H9" s="10"/>
      <c r="I9" s="10"/>
    </row>
    <row r="10" spans="1:9">
      <c r="A10" s="200" t="s">
        <v>31</v>
      </c>
      <c r="B10" s="200"/>
      <c r="C10" s="200"/>
      <c r="D10" s="200"/>
      <c r="E10" s="200"/>
      <c r="F10" s="200"/>
      <c r="G10" s="200"/>
      <c r="H10" s="200"/>
      <c r="I10" s="200"/>
    </row>
    <row r="11" spans="1:9">
      <c r="A11" s="199" t="s">
        <v>32</v>
      </c>
      <c r="B11" s="199"/>
      <c r="C11" s="199" t="s">
        <v>33</v>
      </c>
      <c r="D11" s="199"/>
      <c r="E11" s="199" t="s">
        <v>34</v>
      </c>
      <c r="F11" s="199"/>
      <c r="G11" s="199"/>
      <c r="H11" s="199"/>
      <c r="I11" s="199"/>
    </row>
    <row r="12" spans="1:9">
      <c r="A12" s="199" t="s">
        <v>35</v>
      </c>
      <c r="B12" s="199"/>
      <c r="C12" s="199" t="s">
        <v>36</v>
      </c>
      <c r="D12" s="199"/>
      <c r="E12" s="199">
        <v>2</v>
      </c>
      <c r="F12" s="199"/>
      <c r="G12" s="199"/>
      <c r="H12" s="199"/>
      <c r="I12" s="199"/>
    </row>
    <row r="13" spans="1:9">
      <c r="A13" s="10"/>
      <c r="B13" s="9"/>
      <c r="C13" s="9"/>
      <c r="D13" s="9"/>
      <c r="E13" s="9"/>
      <c r="F13" s="9"/>
      <c r="G13" s="9"/>
      <c r="H13" s="10"/>
      <c r="I13" s="10"/>
    </row>
    <row r="14" spans="1:9">
      <c r="A14" s="200" t="s">
        <v>37</v>
      </c>
      <c r="B14" s="200"/>
      <c r="C14" s="200"/>
      <c r="D14" s="200"/>
      <c r="E14" s="200"/>
      <c r="F14" s="200"/>
      <c r="G14" s="200"/>
      <c r="H14" s="200"/>
      <c r="I14" s="200"/>
    </row>
    <row r="15" spans="1:9">
      <c r="A15" s="2">
        <v>1</v>
      </c>
      <c r="B15" s="201" t="s">
        <v>38</v>
      </c>
      <c r="C15" s="201"/>
      <c r="D15" s="201"/>
      <c r="E15" s="201"/>
      <c r="F15" s="201"/>
      <c r="G15" s="201"/>
      <c r="H15" s="197" t="s">
        <v>39</v>
      </c>
      <c r="I15" s="199"/>
    </row>
    <row r="16" spans="1:9">
      <c r="A16" s="2">
        <v>2</v>
      </c>
      <c r="B16" s="201" t="s">
        <v>40</v>
      </c>
      <c r="C16" s="201"/>
      <c r="D16" s="201"/>
      <c r="E16" s="201"/>
      <c r="F16" s="201"/>
      <c r="G16" s="201"/>
      <c r="H16" s="205" t="s">
        <v>41</v>
      </c>
      <c r="I16" s="206"/>
    </row>
    <row r="17" spans="1:11">
      <c r="A17" s="2">
        <v>3</v>
      </c>
      <c r="B17" s="201" t="s">
        <v>42</v>
      </c>
      <c r="C17" s="201"/>
      <c r="D17" s="201"/>
      <c r="E17" s="201"/>
      <c r="F17" s="201"/>
      <c r="G17" s="201"/>
      <c r="H17" s="207">
        <v>1558.64</v>
      </c>
      <c r="I17" s="199"/>
    </row>
    <row r="18" spans="1:11">
      <c r="A18" s="2">
        <v>4</v>
      </c>
      <c r="B18" s="201" t="s">
        <v>43</v>
      </c>
      <c r="C18" s="201"/>
      <c r="D18" s="201"/>
      <c r="E18" s="201"/>
      <c r="F18" s="201"/>
      <c r="G18" s="201"/>
      <c r="H18" s="199" t="s">
        <v>200</v>
      </c>
      <c r="I18" s="199"/>
    </row>
    <row r="19" spans="1:11">
      <c r="A19" s="2">
        <v>5</v>
      </c>
      <c r="B19" s="201" t="s">
        <v>45</v>
      </c>
      <c r="C19" s="201"/>
      <c r="D19" s="201"/>
      <c r="E19" s="201"/>
      <c r="F19" s="201"/>
      <c r="G19" s="201"/>
      <c r="H19" s="204">
        <v>44927</v>
      </c>
      <c r="I19" s="199"/>
    </row>
    <row r="20" spans="1:11">
      <c r="A20" s="202"/>
      <c r="B20" s="202"/>
      <c r="C20" s="202"/>
      <c r="D20" s="202"/>
      <c r="E20" s="202"/>
      <c r="F20" s="202"/>
      <c r="G20" s="202"/>
      <c r="H20" s="202"/>
      <c r="I20" s="202"/>
    </row>
    <row r="21" spans="1:11">
      <c r="A21" s="208" t="s">
        <v>46</v>
      </c>
      <c r="B21" s="208"/>
      <c r="C21" s="208"/>
      <c r="D21" s="208"/>
      <c r="E21" s="208"/>
      <c r="F21" s="208"/>
      <c r="G21" s="208"/>
      <c r="H21" s="208"/>
      <c r="I21" s="208"/>
    </row>
    <row r="22" spans="1:11">
      <c r="A22" s="1">
        <v>1</v>
      </c>
      <c r="B22" s="209" t="s">
        <v>47</v>
      </c>
      <c r="C22" s="209"/>
      <c r="D22" s="209"/>
      <c r="E22" s="209"/>
      <c r="F22" s="209"/>
      <c r="G22" s="209"/>
      <c r="H22" s="1" t="s">
        <v>48</v>
      </c>
      <c r="I22" s="1" t="s">
        <v>49</v>
      </c>
    </row>
    <row r="23" spans="1:11">
      <c r="A23" s="1" t="s">
        <v>20</v>
      </c>
      <c r="B23" s="201" t="s">
        <v>50</v>
      </c>
      <c r="C23" s="201"/>
      <c r="D23" s="201"/>
      <c r="E23" s="201"/>
      <c r="F23" s="201"/>
      <c r="G23" s="201"/>
      <c r="H23" s="5"/>
      <c r="I23" s="19">
        <v>1558.64</v>
      </c>
    </row>
    <row r="24" spans="1:11">
      <c r="A24" s="1" t="s">
        <v>23</v>
      </c>
      <c r="B24" s="201" t="s">
        <v>51</v>
      </c>
      <c r="C24" s="201"/>
      <c r="D24" s="201"/>
      <c r="E24" s="201"/>
      <c r="F24" s="201"/>
      <c r="G24" s="201"/>
      <c r="H24" s="34">
        <v>0</v>
      </c>
      <c r="I24" s="19">
        <f>I23*H24</f>
        <v>0</v>
      </c>
      <c r="K24" s="41"/>
    </row>
    <row r="25" spans="1:11">
      <c r="A25" s="1" t="s">
        <v>26</v>
      </c>
      <c r="B25" s="201" t="s">
        <v>52</v>
      </c>
      <c r="C25" s="201"/>
      <c r="D25" s="201"/>
      <c r="E25" s="201"/>
      <c r="F25" s="201"/>
      <c r="G25" s="201"/>
      <c r="H25" s="34">
        <v>0</v>
      </c>
      <c r="I25" s="19">
        <f>H25*I23</f>
        <v>0</v>
      </c>
    </row>
    <row r="26" spans="1:11">
      <c r="A26" s="1" t="s">
        <v>29</v>
      </c>
      <c r="B26" s="201" t="s">
        <v>53</v>
      </c>
      <c r="C26" s="201"/>
      <c r="D26" s="201"/>
      <c r="E26" s="201"/>
      <c r="F26" s="201"/>
      <c r="G26" s="201"/>
      <c r="H26" s="34">
        <v>0</v>
      </c>
      <c r="I26" s="19">
        <f>(((I23+I24)/220)*H26*8*15)</f>
        <v>0</v>
      </c>
    </row>
    <row r="27" spans="1:11">
      <c r="A27" s="1" t="s">
        <v>54</v>
      </c>
      <c r="B27" s="201" t="s">
        <v>55</v>
      </c>
      <c r="C27" s="201"/>
      <c r="D27" s="201"/>
      <c r="E27" s="201"/>
      <c r="F27" s="201"/>
      <c r="G27" s="201"/>
      <c r="H27" s="35"/>
      <c r="I27" s="19">
        <v>0</v>
      </c>
    </row>
    <row r="28" spans="1:11">
      <c r="A28" s="1" t="s">
        <v>56</v>
      </c>
      <c r="B28" s="201" t="s">
        <v>57</v>
      </c>
      <c r="C28" s="201"/>
      <c r="D28" s="201"/>
      <c r="E28" s="201"/>
      <c r="F28" s="201"/>
      <c r="G28" s="201"/>
      <c r="H28" s="34"/>
      <c r="I28" s="19">
        <v>0</v>
      </c>
    </row>
    <row r="29" spans="1:11">
      <c r="A29" s="209" t="s">
        <v>58</v>
      </c>
      <c r="B29" s="209"/>
      <c r="C29" s="209"/>
      <c r="D29" s="209"/>
      <c r="E29" s="209"/>
      <c r="F29" s="209"/>
      <c r="G29" s="209"/>
      <c r="H29" s="209"/>
      <c r="I29" s="15">
        <f>TRUNC(SUM(I23:I28),2)</f>
        <v>1558.64</v>
      </c>
    </row>
    <row r="30" spans="1:11">
      <c r="A30" s="11"/>
      <c r="B30" s="11"/>
      <c r="C30" s="11"/>
      <c r="D30" s="11"/>
      <c r="E30" s="11"/>
      <c r="F30" s="11"/>
      <c r="G30" s="11"/>
      <c r="H30" s="11"/>
      <c r="I30" s="16"/>
    </row>
    <row r="31" spans="1:11">
      <c r="A31" s="208" t="s">
        <v>59</v>
      </c>
      <c r="B31" s="208"/>
      <c r="C31" s="208"/>
      <c r="D31" s="208"/>
      <c r="E31" s="208"/>
      <c r="F31" s="208"/>
      <c r="G31" s="208"/>
      <c r="H31" s="208"/>
      <c r="I31" s="208"/>
    </row>
    <row r="32" spans="1:11">
      <c r="A32" s="209" t="s">
        <v>60</v>
      </c>
      <c r="B32" s="209"/>
      <c r="C32" s="209"/>
      <c r="D32" s="209"/>
      <c r="E32" s="209"/>
      <c r="F32" s="209"/>
      <c r="G32" s="209"/>
      <c r="H32" s="1" t="s">
        <v>48</v>
      </c>
      <c r="I32" s="1" t="s">
        <v>49</v>
      </c>
    </row>
    <row r="33" spans="1:11">
      <c r="A33" s="1" t="s">
        <v>20</v>
      </c>
      <c r="B33" s="201" t="s">
        <v>61</v>
      </c>
      <c r="C33" s="201"/>
      <c r="D33" s="201"/>
      <c r="E33" s="201"/>
      <c r="F33" s="201"/>
      <c r="G33" s="201"/>
      <c r="H33" s="20">
        <v>8.3299999999999999E-2</v>
      </c>
      <c r="I33" s="19">
        <f>TRUNC($I$29*H33,2)</f>
        <v>129.83000000000001</v>
      </c>
    </row>
    <row r="34" spans="1:11">
      <c r="A34" s="1" t="s">
        <v>23</v>
      </c>
      <c r="B34" s="201" t="s">
        <v>62</v>
      </c>
      <c r="C34" s="201"/>
      <c r="D34" s="201"/>
      <c r="E34" s="201"/>
      <c r="F34" s="201"/>
      <c r="G34" s="201"/>
      <c r="H34" s="12">
        <v>3.0300000000000001E-2</v>
      </c>
      <c r="I34" s="19">
        <f>TRUNC(H34*I29,2)</f>
        <v>47.22</v>
      </c>
    </row>
    <row r="35" spans="1:11">
      <c r="A35" s="209" t="s">
        <v>63</v>
      </c>
      <c r="B35" s="209"/>
      <c r="C35" s="209"/>
      <c r="D35" s="209"/>
      <c r="E35" s="209"/>
      <c r="F35" s="209"/>
      <c r="G35" s="209"/>
      <c r="H35" s="13">
        <f>TRUNC(SUM(H33:H34),4)</f>
        <v>0.11360000000000001</v>
      </c>
      <c r="I35" s="15">
        <f>TRUNC(SUM(I33:I34),2)</f>
        <v>177.05</v>
      </c>
    </row>
    <row r="36" spans="1:11">
      <c r="A36" s="210"/>
      <c r="B36" s="211"/>
      <c r="C36" s="211"/>
      <c r="D36" s="211"/>
      <c r="E36" s="211"/>
      <c r="F36" s="211"/>
      <c r="G36" s="211"/>
      <c r="H36" s="211"/>
      <c r="I36" s="211"/>
      <c r="J36" s="17" t="s">
        <v>64</v>
      </c>
      <c r="K36" s="33">
        <f>I29+I35</f>
        <v>1735.69</v>
      </c>
    </row>
    <row r="37" spans="1:11">
      <c r="A37" s="209" t="s">
        <v>65</v>
      </c>
      <c r="B37" s="209"/>
      <c r="C37" s="209"/>
      <c r="D37" s="209"/>
      <c r="E37" s="209"/>
      <c r="F37" s="209"/>
      <c r="G37" s="209"/>
      <c r="H37" s="1" t="s">
        <v>48</v>
      </c>
      <c r="I37" s="1" t="s">
        <v>49</v>
      </c>
    </row>
    <row r="38" spans="1:11">
      <c r="A38" s="1" t="s">
        <v>20</v>
      </c>
      <c r="B38" s="201" t="s">
        <v>66</v>
      </c>
      <c r="C38" s="201"/>
      <c r="D38" s="201"/>
      <c r="E38" s="201"/>
      <c r="F38" s="201"/>
      <c r="G38" s="201"/>
      <c r="H38" s="20">
        <v>0.2</v>
      </c>
      <c r="I38" s="19">
        <f>H38*$K$36</f>
        <v>347.13800000000003</v>
      </c>
    </row>
    <row r="39" spans="1:11">
      <c r="A39" s="1" t="s">
        <v>23</v>
      </c>
      <c r="B39" s="201" t="s">
        <v>67</v>
      </c>
      <c r="C39" s="201"/>
      <c r="D39" s="201"/>
      <c r="E39" s="201"/>
      <c r="F39" s="201"/>
      <c r="G39" s="201"/>
      <c r="H39" s="20">
        <v>2.5000000000000001E-2</v>
      </c>
      <c r="I39" s="19">
        <f t="shared" ref="I39:I45" si="0">H39*$K$36</f>
        <v>43.392250000000004</v>
      </c>
    </row>
    <row r="40" spans="1:11">
      <c r="A40" s="1" t="s">
        <v>26</v>
      </c>
      <c r="B40" s="201" t="s">
        <v>68</v>
      </c>
      <c r="C40" s="201"/>
      <c r="D40" s="201"/>
      <c r="E40" s="201"/>
      <c r="F40" s="201"/>
      <c r="G40" s="201"/>
      <c r="H40" s="20">
        <v>1.4999999999999999E-2</v>
      </c>
      <c r="I40" s="19">
        <f t="shared" si="0"/>
        <v>26.035350000000001</v>
      </c>
    </row>
    <row r="41" spans="1:11">
      <c r="A41" s="1" t="s">
        <v>29</v>
      </c>
      <c r="B41" s="201" t="s">
        <v>69</v>
      </c>
      <c r="C41" s="201"/>
      <c r="D41" s="201"/>
      <c r="E41" s="201"/>
      <c r="F41" s="201"/>
      <c r="G41" s="201"/>
      <c r="H41" s="20">
        <v>1.4999999999999999E-2</v>
      </c>
      <c r="I41" s="19">
        <f t="shared" si="0"/>
        <v>26.035350000000001</v>
      </c>
    </row>
    <row r="42" spans="1:11">
      <c r="A42" s="1" t="s">
        <v>54</v>
      </c>
      <c r="B42" s="201" t="s">
        <v>70</v>
      </c>
      <c r="C42" s="201"/>
      <c r="D42" s="201"/>
      <c r="E42" s="201"/>
      <c r="F42" s="201"/>
      <c r="G42" s="201"/>
      <c r="H42" s="20">
        <v>0.01</v>
      </c>
      <c r="I42" s="19">
        <f t="shared" si="0"/>
        <v>17.3569</v>
      </c>
    </row>
    <row r="43" spans="1:11">
      <c r="A43" s="1" t="s">
        <v>56</v>
      </c>
      <c r="B43" s="201" t="s">
        <v>71</v>
      </c>
      <c r="C43" s="201"/>
      <c r="D43" s="201"/>
      <c r="E43" s="201"/>
      <c r="F43" s="201"/>
      <c r="G43" s="201"/>
      <c r="H43" s="20">
        <v>6.0000000000000001E-3</v>
      </c>
      <c r="I43" s="19">
        <f t="shared" si="0"/>
        <v>10.41414</v>
      </c>
    </row>
    <row r="44" spans="1:11">
      <c r="A44" s="1" t="s">
        <v>72</v>
      </c>
      <c r="B44" s="201" t="s">
        <v>73</v>
      </c>
      <c r="C44" s="201"/>
      <c r="D44" s="201"/>
      <c r="E44" s="201"/>
      <c r="F44" s="201"/>
      <c r="G44" s="201"/>
      <c r="H44" s="20">
        <v>2E-3</v>
      </c>
      <c r="I44" s="19">
        <f t="shared" si="0"/>
        <v>3.4713800000000004</v>
      </c>
    </row>
    <row r="45" spans="1:11">
      <c r="A45" s="1" t="s">
        <v>74</v>
      </c>
      <c r="B45" s="201" t="s">
        <v>75</v>
      </c>
      <c r="C45" s="201"/>
      <c r="D45" s="201"/>
      <c r="E45" s="201"/>
      <c r="F45" s="201"/>
      <c r="G45" s="201"/>
      <c r="H45" s="20">
        <v>0.08</v>
      </c>
      <c r="I45" s="19">
        <f t="shared" si="0"/>
        <v>138.8552</v>
      </c>
    </row>
    <row r="46" spans="1:11">
      <c r="A46" s="209" t="s">
        <v>76</v>
      </c>
      <c r="B46" s="209"/>
      <c r="C46" s="209"/>
      <c r="D46" s="209"/>
      <c r="E46" s="209"/>
      <c r="F46" s="209"/>
      <c r="G46" s="209"/>
      <c r="H46" s="13">
        <f>SUM(H38:H45)</f>
        <v>0.35300000000000004</v>
      </c>
      <c r="I46" s="15">
        <f>TRUNC(SUM(I38:I45),2)</f>
        <v>612.69000000000005</v>
      </c>
    </row>
    <row r="47" spans="1:11">
      <c r="A47" s="212"/>
      <c r="B47" s="212"/>
      <c r="C47" s="212"/>
      <c r="D47" s="212"/>
      <c r="E47" s="212"/>
      <c r="F47" s="212"/>
      <c r="G47" s="212"/>
      <c r="H47" s="212"/>
      <c r="I47" s="213"/>
    </row>
    <row r="48" spans="1:11">
      <c r="A48" s="209" t="s">
        <v>77</v>
      </c>
      <c r="B48" s="209"/>
      <c r="C48" s="209"/>
      <c r="D48" s="209"/>
      <c r="E48" s="209"/>
      <c r="F48" s="209"/>
      <c r="G48" s="209"/>
      <c r="H48" s="13"/>
      <c r="I48" s="1" t="s">
        <v>49</v>
      </c>
    </row>
    <row r="49" spans="1:11">
      <c r="A49" s="1" t="s">
        <v>20</v>
      </c>
      <c r="B49" s="214" t="s">
        <v>78</v>
      </c>
      <c r="C49" s="215"/>
      <c r="D49" s="215"/>
      <c r="E49" s="215"/>
      <c r="F49" s="215"/>
      <c r="G49" s="215"/>
      <c r="H49" s="2">
        <v>52</v>
      </c>
      <c r="I49" s="18">
        <f>3.9*H49-K49</f>
        <v>109.28159999999998</v>
      </c>
      <c r="K49">
        <f>I23*0.06</f>
        <v>93.5184</v>
      </c>
    </row>
    <row r="50" spans="1:11">
      <c r="A50" s="1" t="s">
        <v>23</v>
      </c>
      <c r="B50" s="214" t="s">
        <v>79</v>
      </c>
      <c r="C50" s="215"/>
      <c r="D50" s="215"/>
      <c r="E50" s="215"/>
      <c r="F50" s="215"/>
      <c r="G50" s="215"/>
      <c r="H50" s="2" t="s">
        <v>22</v>
      </c>
      <c r="I50" s="18">
        <f>210.23-210.23*0.2</f>
        <v>168.184</v>
      </c>
      <c r="K50" s="41">
        <f>568.04*12.47%+568.04</f>
        <v>638.8745879999999</v>
      </c>
    </row>
    <row r="51" spans="1:11">
      <c r="A51" s="1" t="s">
        <v>26</v>
      </c>
      <c r="B51" s="215" t="s">
        <v>80</v>
      </c>
      <c r="C51" s="215"/>
      <c r="D51" s="215"/>
      <c r="E51" s="215"/>
      <c r="F51" s="215"/>
      <c r="G51" s="215"/>
      <c r="H51" s="2" t="s">
        <v>22</v>
      </c>
      <c r="I51" s="18">
        <v>13.08</v>
      </c>
      <c r="K51" s="41">
        <f>105.29*12.13%+105.29</f>
        <v>118.061677</v>
      </c>
    </row>
    <row r="52" spans="1:11">
      <c r="A52" s="1" t="s">
        <v>29</v>
      </c>
      <c r="B52" s="216" t="s">
        <v>81</v>
      </c>
      <c r="C52" s="217"/>
      <c r="D52" s="217"/>
      <c r="E52" s="217"/>
      <c r="F52" s="217"/>
      <c r="G52" s="218"/>
      <c r="H52" s="2" t="s">
        <v>22</v>
      </c>
      <c r="I52" s="18">
        <v>116.69</v>
      </c>
      <c r="K52" s="41">
        <f>11.83*12.13%+11.83</f>
        <v>13.264979</v>
      </c>
    </row>
    <row r="53" spans="1:11">
      <c r="A53" s="1" t="s">
        <v>54</v>
      </c>
      <c r="B53" s="216" t="s">
        <v>82</v>
      </c>
      <c r="C53" s="217"/>
      <c r="D53" s="217"/>
      <c r="E53" s="217"/>
      <c r="F53" s="217"/>
      <c r="G53" s="218"/>
      <c r="H53" s="2" t="s">
        <v>22</v>
      </c>
      <c r="I53" s="18">
        <v>0.73</v>
      </c>
    </row>
    <row r="54" spans="1:11">
      <c r="A54" s="1" t="s">
        <v>56</v>
      </c>
      <c r="B54" s="215" t="s">
        <v>83</v>
      </c>
      <c r="C54" s="215"/>
      <c r="D54" s="215"/>
      <c r="E54" s="215"/>
      <c r="F54" s="215"/>
      <c r="G54" s="215"/>
      <c r="H54" s="2" t="s">
        <v>22</v>
      </c>
      <c r="I54" s="18">
        <v>0</v>
      </c>
    </row>
    <row r="55" spans="1:11">
      <c r="A55" s="209" t="s">
        <v>84</v>
      </c>
      <c r="B55" s="209"/>
      <c r="C55" s="209"/>
      <c r="D55" s="209"/>
      <c r="E55" s="209"/>
      <c r="F55" s="209"/>
      <c r="G55" s="209"/>
      <c r="H55" s="209"/>
      <c r="I55" s="15">
        <f>SUM(I49:I54)</f>
        <v>407.96559999999999</v>
      </c>
    </row>
    <row r="56" spans="1:11">
      <c r="A56" s="212"/>
      <c r="B56" s="212"/>
      <c r="C56" s="212"/>
      <c r="D56" s="212"/>
      <c r="E56" s="212"/>
      <c r="F56" s="212"/>
      <c r="G56" s="212"/>
      <c r="H56" s="212"/>
      <c r="I56" s="213"/>
    </row>
    <row r="57" spans="1:11">
      <c r="A57" s="219" t="s">
        <v>85</v>
      </c>
      <c r="B57" s="219"/>
      <c r="C57" s="219"/>
      <c r="D57" s="219"/>
      <c r="E57" s="219"/>
      <c r="F57" s="219"/>
      <c r="G57" s="219"/>
      <c r="H57" s="219"/>
      <c r="I57" s="219"/>
    </row>
    <row r="58" spans="1:11">
      <c r="A58" s="209" t="s">
        <v>86</v>
      </c>
      <c r="B58" s="209"/>
      <c r="C58" s="209"/>
      <c r="D58" s="209"/>
      <c r="E58" s="209"/>
      <c r="F58" s="209"/>
      <c r="G58" s="209"/>
      <c r="H58" s="209"/>
      <c r="I58" s="1" t="s">
        <v>49</v>
      </c>
    </row>
    <row r="59" spans="1:11">
      <c r="A59" s="1" t="s">
        <v>87</v>
      </c>
      <c r="B59" s="199" t="s">
        <v>88</v>
      </c>
      <c r="C59" s="199"/>
      <c r="D59" s="199"/>
      <c r="E59" s="199"/>
      <c r="F59" s="199"/>
      <c r="G59" s="199"/>
      <c r="H59" s="199"/>
      <c r="I59" s="19">
        <f>I35</f>
        <v>177.05</v>
      </c>
    </row>
    <row r="60" spans="1:11">
      <c r="A60" s="1" t="s">
        <v>89</v>
      </c>
      <c r="B60" s="199" t="s">
        <v>90</v>
      </c>
      <c r="C60" s="199"/>
      <c r="D60" s="199"/>
      <c r="E60" s="199"/>
      <c r="F60" s="199"/>
      <c r="G60" s="199"/>
      <c r="H60" s="199"/>
      <c r="I60" s="19">
        <f>I46</f>
        <v>612.69000000000005</v>
      </c>
    </row>
    <row r="61" spans="1:11">
      <c r="A61" s="1" t="s">
        <v>91</v>
      </c>
      <c r="B61" s="199" t="s">
        <v>92</v>
      </c>
      <c r="C61" s="199"/>
      <c r="D61" s="199"/>
      <c r="E61" s="199"/>
      <c r="F61" s="199"/>
      <c r="G61" s="199"/>
      <c r="H61" s="199"/>
      <c r="I61" s="19">
        <f>I55</f>
        <v>407.96559999999999</v>
      </c>
    </row>
    <row r="62" spans="1:11">
      <c r="A62" s="209" t="s">
        <v>93</v>
      </c>
      <c r="B62" s="209"/>
      <c r="C62" s="209"/>
      <c r="D62" s="209"/>
      <c r="E62" s="209"/>
      <c r="F62" s="209"/>
      <c r="G62" s="209"/>
      <c r="H62" s="209"/>
      <c r="I62" s="15">
        <f>TRUNC(SUM(I59:I61),2)</f>
        <v>1197.7</v>
      </c>
    </row>
    <row r="63" spans="1:11">
      <c r="A63" s="220"/>
      <c r="B63" s="221"/>
      <c r="C63" s="221"/>
      <c r="D63" s="221"/>
      <c r="E63" s="221"/>
      <c r="F63" s="221"/>
      <c r="G63" s="221"/>
      <c r="H63" s="221"/>
      <c r="I63" s="221"/>
    </row>
    <row r="64" spans="1:11">
      <c r="A64" s="208" t="s">
        <v>94</v>
      </c>
      <c r="B64" s="208"/>
      <c r="C64" s="208"/>
      <c r="D64" s="208"/>
      <c r="E64" s="208"/>
      <c r="F64" s="208"/>
      <c r="G64" s="208"/>
      <c r="H64" s="208"/>
      <c r="I64" s="208"/>
    </row>
    <row r="65" spans="1:11">
      <c r="A65" s="1">
        <v>3</v>
      </c>
      <c r="B65" s="209" t="s">
        <v>95</v>
      </c>
      <c r="C65" s="209"/>
      <c r="D65" s="209"/>
      <c r="E65" s="209"/>
      <c r="F65" s="209"/>
      <c r="G65" s="209"/>
      <c r="H65" s="1" t="s">
        <v>48</v>
      </c>
      <c r="I65" s="1" t="s">
        <v>49</v>
      </c>
    </row>
    <row r="66" spans="1:11">
      <c r="A66" s="1" t="s">
        <v>20</v>
      </c>
      <c r="B66" s="201" t="s">
        <v>96</v>
      </c>
      <c r="C66" s="201"/>
      <c r="D66" s="201"/>
      <c r="E66" s="201"/>
      <c r="F66" s="201"/>
      <c r="G66" s="201"/>
      <c r="H66" s="20">
        <v>4.1999999999999997E-3</v>
      </c>
      <c r="I66" s="19">
        <f>H66*$I$23</f>
        <v>6.5462879999999997</v>
      </c>
    </row>
    <row r="67" spans="1:11">
      <c r="A67" s="1" t="s">
        <v>23</v>
      </c>
      <c r="B67" s="201" t="s">
        <v>97</v>
      </c>
      <c r="C67" s="201"/>
      <c r="D67" s="201"/>
      <c r="E67" s="201"/>
      <c r="F67" s="201"/>
      <c r="G67" s="201"/>
      <c r="H67" s="20">
        <v>3.3599999999999998E-4</v>
      </c>
      <c r="I67" s="19">
        <f t="shared" ref="I67:I71" si="1">H67*$I$23</f>
        <v>0.52370304000000001</v>
      </c>
      <c r="K67" s="48"/>
    </row>
    <row r="68" spans="1:11">
      <c r="A68" s="1" t="s">
        <v>26</v>
      </c>
      <c r="B68" s="201" t="s">
        <v>98</v>
      </c>
      <c r="C68" s="201"/>
      <c r="D68" s="201"/>
      <c r="E68" s="201"/>
      <c r="F68" s="201"/>
      <c r="G68" s="201"/>
      <c r="H68" s="20">
        <v>3.4700000000000002E-2</v>
      </c>
      <c r="I68" s="19">
        <f t="shared" si="1"/>
        <v>54.08480800000001</v>
      </c>
    </row>
    <row r="69" spans="1:11">
      <c r="A69" s="1" t="s">
        <v>29</v>
      </c>
      <c r="B69" s="201" t="s">
        <v>99</v>
      </c>
      <c r="C69" s="201"/>
      <c r="D69" s="201"/>
      <c r="E69" s="201"/>
      <c r="F69" s="201"/>
      <c r="G69" s="201"/>
      <c r="H69" s="20">
        <v>1.9400000000000001E-2</v>
      </c>
      <c r="I69" s="19">
        <f t="shared" si="1"/>
        <v>30.237616000000003</v>
      </c>
    </row>
    <row r="70" spans="1:11">
      <c r="A70" s="1" t="s">
        <v>54</v>
      </c>
      <c r="B70" s="222" t="s">
        <v>100</v>
      </c>
      <c r="C70" s="222"/>
      <c r="D70" s="222"/>
      <c r="E70" s="222"/>
      <c r="F70" s="222"/>
      <c r="G70" s="222"/>
      <c r="H70" s="51">
        <f>H46*H69</f>
        <v>6.8482000000000013E-3</v>
      </c>
      <c r="I70" s="19">
        <f t="shared" si="1"/>
        <v>10.673878448000004</v>
      </c>
    </row>
    <row r="71" spans="1:11">
      <c r="A71" s="1" t="s">
        <v>56</v>
      </c>
      <c r="B71" s="201" t="s">
        <v>101</v>
      </c>
      <c r="C71" s="201"/>
      <c r="D71" s="201"/>
      <c r="E71" s="201"/>
      <c r="F71" s="201"/>
      <c r="G71" s="201"/>
      <c r="H71" s="20">
        <v>5.3E-3</v>
      </c>
      <c r="I71" s="19">
        <f t="shared" si="1"/>
        <v>8.2607920000000004</v>
      </c>
    </row>
    <row r="72" spans="1:11">
      <c r="A72" s="209" t="s">
        <v>102</v>
      </c>
      <c r="B72" s="209"/>
      <c r="C72" s="209"/>
      <c r="D72" s="209"/>
      <c r="E72" s="209"/>
      <c r="F72" s="209"/>
      <c r="G72" s="209"/>
      <c r="H72" s="13">
        <f>TRUNC(SUM(H66:H71),4)</f>
        <v>7.0699999999999999E-2</v>
      </c>
      <c r="I72" s="15">
        <f>TRUNC(SUM(I66:I71),2)</f>
        <v>110.32</v>
      </c>
    </row>
    <row r="73" spans="1:11">
      <c r="A73" s="223"/>
      <c r="B73" s="224"/>
      <c r="C73" s="224"/>
      <c r="D73" s="224"/>
      <c r="E73" s="224"/>
      <c r="F73" s="224"/>
      <c r="G73" s="224"/>
      <c r="H73" s="224"/>
      <c r="I73" s="224"/>
    </row>
    <row r="74" spans="1:11">
      <c r="A74" s="208" t="s">
        <v>103</v>
      </c>
      <c r="B74" s="208"/>
      <c r="C74" s="208"/>
      <c r="D74" s="208"/>
      <c r="E74" s="208"/>
      <c r="F74" s="208"/>
      <c r="G74" s="208"/>
      <c r="H74" s="208"/>
      <c r="I74" s="208"/>
      <c r="J74" s="17" t="s">
        <v>104</v>
      </c>
      <c r="K74" s="33">
        <f>I29+I62+I72</f>
        <v>2866.6600000000003</v>
      </c>
    </row>
    <row r="75" spans="1:11">
      <c r="A75" s="209" t="s">
        <v>105</v>
      </c>
      <c r="B75" s="209"/>
      <c r="C75" s="209"/>
      <c r="D75" s="209"/>
      <c r="E75" s="209"/>
      <c r="F75" s="209"/>
      <c r="G75" s="209"/>
      <c r="H75" s="1" t="s">
        <v>48</v>
      </c>
      <c r="I75" s="1" t="s">
        <v>49</v>
      </c>
    </row>
    <row r="76" spans="1:11">
      <c r="A76" s="1" t="s">
        <v>20</v>
      </c>
      <c r="B76" s="201" t="s">
        <v>106</v>
      </c>
      <c r="C76" s="201"/>
      <c r="D76" s="201"/>
      <c r="E76" s="201"/>
      <c r="F76" s="201"/>
      <c r="G76" s="201"/>
      <c r="H76" s="20">
        <v>8.3299999999999999E-2</v>
      </c>
      <c r="I76" s="19">
        <f>H76*$K$74</f>
        <v>238.79277800000003</v>
      </c>
    </row>
    <row r="77" spans="1:11">
      <c r="A77" s="1" t="s">
        <v>23</v>
      </c>
      <c r="B77" s="201" t="s">
        <v>107</v>
      </c>
      <c r="C77" s="201"/>
      <c r="D77" s="201"/>
      <c r="E77" s="201"/>
      <c r="F77" s="201"/>
      <c r="G77" s="201"/>
      <c r="H77" s="20">
        <v>8.2000000000000007E-3</v>
      </c>
      <c r="I77" s="19">
        <f t="shared" ref="I77:I81" si="2">H77*$K$74</f>
        <v>23.506612000000004</v>
      </c>
    </row>
    <row r="78" spans="1:11">
      <c r="A78" s="1" t="s">
        <v>26</v>
      </c>
      <c r="B78" s="201" t="s">
        <v>108</v>
      </c>
      <c r="C78" s="201"/>
      <c r="D78" s="201"/>
      <c r="E78" s="201"/>
      <c r="F78" s="201"/>
      <c r="G78" s="201"/>
      <c r="H78" s="20">
        <v>2.0000000000000001E-4</v>
      </c>
      <c r="I78" s="19">
        <f t="shared" si="2"/>
        <v>0.57333200000000006</v>
      </c>
    </row>
    <row r="79" spans="1:11">
      <c r="A79" s="1" t="s">
        <v>29</v>
      </c>
      <c r="B79" s="201" t="s">
        <v>109</v>
      </c>
      <c r="C79" s="201"/>
      <c r="D79" s="201"/>
      <c r="E79" s="201"/>
      <c r="F79" s="201"/>
      <c r="G79" s="201"/>
      <c r="H79" s="20">
        <v>2.9999999999999997E-4</v>
      </c>
      <c r="I79" s="19">
        <f t="shared" si="2"/>
        <v>0.85999800000000004</v>
      </c>
    </row>
    <row r="80" spans="1:11">
      <c r="A80" s="1" t="s">
        <v>54</v>
      </c>
      <c r="B80" s="201" t="s">
        <v>110</v>
      </c>
      <c r="C80" s="201"/>
      <c r="D80" s="201"/>
      <c r="E80" s="201"/>
      <c r="F80" s="201"/>
      <c r="G80" s="201"/>
      <c r="H80" s="20">
        <v>6.9999999999999999E-4</v>
      </c>
      <c r="I80" s="19">
        <f t="shared" si="2"/>
        <v>2.0066620000000004</v>
      </c>
      <c r="K80" s="41"/>
    </row>
    <row r="81" spans="1:11">
      <c r="A81" s="1" t="s">
        <v>56</v>
      </c>
      <c r="B81" s="201" t="s">
        <v>111</v>
      </c>
      <c r="C81" s="201"/>
      <c r="D81" s="201"/>
      <c r="E81" s="201"/>
      <c r="F81" s="201"/>
      <c r="G81" s="201"/>
      <c r="H81" s="20">
        <v>0</v>
      </c>
      <c r="I81" s="19">
        <f t="shared" si="2"/>
        <v>0</v>
      </c>
      <c r="K81" s="42"/>
    </row>
    <row r="82" spans="1:11">
      <c r="A82" s="209" t="s">
        <v>112</v>
      </c>
      <c r="B82" s="209"/>
      <c r="C82" s="209"/>
      <c r="D82" s="209"/>
      <c r="E82" s="209"/>
      <c r="F82" s="209"/>
      <c r="G82" s="209"/>
      <c r="H82" s="13">
        <f>TRUNC(SUM(H76:H81),4)</f>
        <v>9.2700000000000005E-2</v>
      </c>
      <c r="I82" s="15">
        <f>TRUNC(SUM(I76:I81),2)</f>
        <v>265.73</v>
      </c>
      <c r="K82" s="42"/>
    </row>
    <row r="83" spans="1:11">
      <c r="A83" s="225"/>
      <c r="B83" s="226"/>
      <c r="C83" s="226"/>
      <c r="D83" s="226"/>
      <c r="E83" s="226"/>
      <c r="F83" s="226"/>
      <c r="G83" s="226"/>
      <c r="H83" s="226"/>
      <c r="I83" s="226"/>
    </row>
    <row r="84" spans="1:11">
      <c r="A84" s="209" t="s">
        <v>113</v>
      </c>
      <c r="B84" s="209"/>
      <c r="C84" s="209"/>
      <c r="D84" s="209"/>
      <c r="E84" s="209"/>
      <c r="F84" s="209"/>
      <c r="G84" s="209"/>
      <c r="H84" s="1" t="s">
        <v>48</v>
      </c>
      <c r="I84" s="1" t="s">
        <v>49</v>
      </c>
    </row>
    <row r="85" spans="1:11">
      <c r="A85" s="1" t="s">
        <v>20</v>
      </c>
      <c r="B85" s="201" t="s">
        <v>114</v>
      </c>
      <c r="C85" s="201"/>
      <c r="D85" s="201"/>
      <c r="E85" s="201"/>
      <c r="F85" s="201"/>
      <c r="G85" s="201"/>
      <c r="H85" s="20">
        <v>0</v>
      </c>
      <c r="I85" s="19">
        <v>0</v>
      </c>
    </row>
    <row r="86" spans="1:11">
      <c r="A86" s="209" t="s">
        <v>115</v>
      </c>
      <c r="B86" s="209"/>
      <c r="C86" s="209"/>
      <c r="D86" s="209"/>
      <c r="E86" s="209"/>
      <c r="F86" s="209"/>
      <c r="G86" s="209"/>
      <c r="H86" s="13">
        <f>TRUNC(SUM(H85),4)</f>
        <v>0</v>
      </c>
      <c r="I86" s="15">
        <f>TRUNC(SUM(I85),2)</f>
        <v>0</v>
      </c>
    </row>
    <row r="87" spans="1:11">
      <c r="A87" s="227"/>
      <c r="B87" s="228"/>
      <c r="C87" s="228"/>
      <c r="D87" s="228"/>
      <c r="E87" s="228"/>
      <c r="F87" s="228"/>
      <c r="G87" s="228"/>
      <c r="H87" s="228"/>
      <c r="I87" s="228"/>
    </row>
    <row r="88" spans="1:11">
      <c r="A88" s="219" t="s">
        <v>116</v>
      </c>
      <c r="B88" s="219"/>
      <c r="C88" s="219"/>
      <c r="D88" s="219"/>
      <c r="E88" s="219"/>
      <c r="F88" s="219"/>
      <c r="G88" s="219"/>
      <c r="H88" s="219"/>
      <c r="I88" s="219"/>
    </row>
    <row r="89" spans="1:11">
      <c r="A89" s="209" t="s">
        <v>117</v>
      </c>
      <c r="B89" s="209"/>
      <c r="C89" s="209"/>
      <c r="D89" s="209"/>
      <c r="E89" s="209"/>
      <c r="F89" s="209"/>
      <c r="G89" s="209"/>
      <c r="H89" s="209"/>
      <c r="I89" s="1" t="s">
        <v>49</v>
      </c>
    </row>
    <row r="90" spans="1:11">
      <c r="A90" s="1" t="s">
        <v>118</v>
      </c>
      <c r="B90" s="199" t="s">
        <v>119</v>
      </c>
      <c r="C90" s="199"/>
      <c r="D90" s="199"/>
      <c r="E90" s="199"/>
      <c r="F90" s="199"/>
      <c r="G90" s="199"/>
      <c r="H90" s="199"/>
      <c r="I90" s="19">
        <f>I82</f>
        <v>265.73</v>
      </c>
    </row>
    <row r="91" spans="1:11">
      <c r="A91" s="1" t="s">
        <v>120</v>
      </c>
      <c r="B91" s="199" t="s">
        <v>121</v>
      </c>
      <c r="C91" s="199"/>
      <c r="D91" s="199"/>
      <c r="E91" s="199"/>
      <c r="F91" s="199"/>
      <c r="G91" s="199"/>
      <c r="H91" s="199"/>
      <c r="I91" s="19">
        <f>I86</f>
        <v>0</v>
      </c>
    </row>
    <row r="92" spans="1:11">
      <c r="A92" s="209" t="s">
        <v>122</v>
      </c>
      <c r="B92" s="209"/>
      <c r="C92" s="209"/>
      <c r="D92" s="209"/>
      <c r="E92" s="209"/>
      <c r="F92" s="209"/>
      <c r="G92" s="209"/>
      <c r="H92" s="209"/>
      <c r="I92" s="15">
        <f>TRUNC(SUM(I90:I91),2)</f>
        <v>265.73</v>
      </c>
    </row>
    <row r="93" spans="1:11">
      <c r="A93" s="220"/>
      <c r="B93" s="221"/>
      <c r="C93" s="221"/>
      <c r="D93" s="221"/>
      <c r="E93" s="221"/>
      <c r="F93" s="221"/>
      <c r="G93" s="221"/>
      <c r="H93" s="221"/>
      <c r="I93" s="221"/>
    </row>
    <row r="94" spans="1:11">
      <c r="A94" s="208" t="s">
        <v>123</v>
      </c>
      <c r="B94" s="208"/>
      <c r="C94" s="208"/>
      <c r="D94" s="208"/>
      <c r="E94" s="208"/>
      <c r="F94" s="208"/>
      <c r="G94" s="208"/>
      <c r="H94" s="208"/>
      <c r="I94" s="208"/>
    </row>
    <row r="95" spans="1:11">
      <c r="A95" s="1">
        <v>5</v>
      </c>
      <c r="B95" s="209" t="s">
        <v>124</v>
      </c>
      <c r="C95" s="209"/>
      <c r="D95" s="209"/>
      <c r="E95" s="209"/>
      <c r="F95" s="209"/>
      <c r="G95" s="209"/>
      <c r="H95" s="1"/>
      <c r="I95" s="1" t="s">
        <v>49</v>
      </c>
    </row>
    <row r="96" spans="1:11">
      <c r="A96" s="1" t="s">
        <v>20</v>
      </c>
      <c r="B96" s="214" t="s">
        <v>125</v>
      </c>
      <c r="C96" s="215"/>
      <c r="D96" s="215"/>
      <c r="E96" s="215"/>
      <c r="F96" s="215"/>
      <c r="G96" s="215"/>
      <c r="H96" s="2" t="s">
        <v>22</v>
      </c>
      <c r="I96" s="19">
        <f>INSUMOS!N31</f>
        <v>30.075000000000003</v>
      </c>
    </row>
    <row r="97" spans="1:9">
      <c r="A97" s="1" t="s">
        <v>23</v>
      </c>
      <c r="B97" s="215" t="s">
        <v>183</v>
      </c>
      <c r="C97" s="215"/>
      <c r="D97" s="215"/>
      <c r="E97" s="215"/>
      <c r="F97" s="215"/>
      <c r="G97" s="215"/>
      <c r="H97" s="2" t="s">
        <v>22</v>
      </c>
      <c r="I97" s="19">
        <f>INSUMOS!N115</f>
        <v>7.53</v>
      </c>
    </row>
    <row r="98" spans="1:9">
      <c r="A98" s="14" t="s">
        <v>26</v>
      </c>
      <c r="B98" s="215" t="s">
        <v>127</v>
      </c>
      <c r="C98" s="215"/>
      <c r="D98" s="215"/>
      <c r="E98" s="215"/>
      <c r="F98" s="215"/>
      <c r="G98" s="215"/>
      <c r="H98" s="2" t="s">
        <v>22</v>
      </c>
      <c r="I98" s="19">
        <v>0</v>
      </c>
    </row>
    <row r="99" spans="1:9">
      <c r="A99" s="14" t="s">
        <v>29</v>
      </c>
      <c r="B99" s="215" t="s">
        <v>184</v>
      </c>
      <c r="C99" s="215"/>
      <c r="D99" s="215"/>
      <c r="E99" s="215"/>
      <c r="F99" s="215"/>
      <c r="G99" s="215"/>
      <c r="H99" s="2" t="s">
        <v>22</v>
      </c>
      <c r="I99" s="19">
        <v>0</v>
      </c>
    </row>
    <row r="100" spans="1:9">
      <c r="A100" s="209" t="s">
        <v>129</v>
      </c>
      <c r="B100" s="209"/>
      <c r="C100" s="209"/>
      <c r="D100" s="209"/>
      <c r="E100" s="209"/>
      <c r="F100" s="209"/>
      <c r="G100" s="209"/>
      <c r="H100" s="13" t="s">
        <v>22</v>
      </c>
      <c r="I100" s="15">
        <f>TRUNC(SUM(I96:I99),2)</f>
        <v>37.6</v>
      </c>
    </row>
    <row r="101" spans="1:9">
      <c r="A101" s="220"/>
      <c r="B101" s="221"/>
      <c r="C101" s="221"/>
      <c r="D101" s="221"/>
      <c r="E101" s="221"/>
      <c r="F101" s="221"/>
      <c r="G101" s="221"/>
      <c r="H101" s="221"/>
      <c r="I101" s="221"/>
    </row>
    <row r="102" spans="1:9">
      <c r="A102" s="208" t="s">
        <v>130</v>
      </c>
      <c r="B102" s="208"/>
      <c r="C102" s="208"/>
      <c r="D102" s="208"/>
      <c r="E102" s="208"/>
      <c r="F102" s="208"/>
      <c r="G102" s="208"/>
      <c r="H102" s="208"/>
      <c r="I102" s="208"/>
    </row>
    <row r="103" spans="1:9">
      <c r="A103" s="1">
        <v>6</v>
      </c>
      <c r="B103" s="209" t="s">
        <v>131</v>
      </c>
      <c r="C103" s="209"/>
      <c r="D103" s="209"/>
      <c r="E103" s="209"/>
      <c r="F103" s="209"/>
      <c r="G103" s="209"/>
      <c r="H103" s="1" t="s">
        <v>48</v>
      </c>
      <c r="I103" s="1" t="s">
        <v>49</v>
      </c>
    </row>
    <row r="104" spans="1:9">
      <c r="A104" s="1" t="s">
        <v>20</v>
      </c>
      <c r="B104" s="201" t="s">
        <v>132</v>
      </c>
      <c r="C104" s="201"/>
      <c r="D104" s="201"/>
      <c r="E104" s="201"/>
      <c r="F104" s="201"/>
      <c r="G104" s="201"/>
      <c r="H104" s="37">
        <v>0.03</v>
      </c>
      <c r="I104" s="19">
        <f>TRUNC(H104*I128,2)</f>
        <v>95.09</v>
      </c>
    </row>
    <row r="105" spans="1:9">
      <c r="A105" s="1" t="s">
        <v>23</v>
      </c>
      <c r="B105" s="201" t="s">
        <v>133</v>
      </c>
      <c r="C105" s="201"/>
      <c r="D105" s="201"/>
      <c r="E105" s="201"/>
      <c r="F105" s="201"/>
      <c r="G105" s="201"/>
      <c r="H105" s="37">
        <v>6.7900000000000002E-2</v>
      </c>
      <c r="I105" s="19">
        <f>TRUNC(H105*(I104+I128),2)</f>
        <v>221.69</v>
      </c>
    </row>
    <row r="106" spans="1:9">
      <c r="A106" s="1" t="s">
        <v>26</v>
      </c>
      <c r="B106" s="229" t="s">
        <v>134</v>
      </c>
      <c r="C106" s="229"/>
      <c r="D106" s="229"/>
      <c r="E106" s="229"/>
      <c r="F106" s="229"/>
      <c r="G106" s="229"/>
      <c r="H106" s="34"/>
      <c r="I106" s="29"/>
    </row>
    <row r="107" spans="1:9">
      <c r="A107" s="1" t="s">
        <v>135</v>
      </c>
      <c r="B107" s="201" t="s">
        <v>136</v>
      </c>
      <c r="C107" s="201"/>
      <c r="D107" s="201"/>
      <c r="E107" s="201"/>
      <c r="F107" s="201"/>
      <c r="G107" s="201"/>
      <c r="H107" s="38">
        <v>6.4999999999999997E-3</v>
      </c>
      <c r="I107" s="19">
        <f>H107*I117</f>
        <v>24.810044999999999</v>
      </c>
    </row>
    <row r="108" spans="1:9">
      <c r="A108" s="1" t="s">
        <v>137</v>
      </c>
      <c r="B108" s="201" t="s">
        <v>138</v>
      </c>
      <c r="C108" s="201"/>
      <c r="D108" s="201"/>
      <c r="E108" s="201"/>
      <c r="F108" s="201"/>
      <c r="G108" s="201"/>
      <c r="H108" s="39">
        <v>0.03</v>
      </c>
      <c r="I108" s="19">
        <f>H108*I117</f>
        <v>114.50789999999999</v>
      </c>
    </row>
    <row r="109" spans="1:9">
      <c r="A109" s="1" t="s">
        <v>139</v>
      </c>
      <c r="B109" s="201" t="s">
        <v>140</v>
      </c>
      <c r="C109" s="201"/>
      <c r="D109" s="201"/>
      <c r="E109" s="201"/>
      <c r="F109" s="201"/>
      <c r="G109" s="201"/>
      <c r="H109" s="40">
        <v>0.05</v>
      </c>
      <c r="I109" s="19">
        <f>H109*I117</f>
        <v>190.84649999999999</v>
      </c>
    </row>
    <row r="110" spans="1:9">
      <c r="A110" s="209" t="s">
        <v>141</v>
      </c>
      <c r="B110" s="209"/>
      <c r="C110" s="209"/>
      <c r="D110" s="209"/>
      <c r="E110" s="209"/>
      <c r="F110" s="209"/>
      <c r="G110" s="209"/>
      <c r="H110" s="38"/>
      <c r="I110" s="15">
        <f>TRUNC(SUM(I104:I109),2)</f>
        <v>646.94000000000005</v>
      </c>
    </row>
    <row r="111" spans="1:9">
      <c r="A111" s="10"/>
      <c r="B111" s="230"/>
      <c r="C111" s="230"/>
      <c r="D111" s="230"/>
      <c r="E111" s="230"/>
      <c r="F111" s="230"/>
      <c r="G111" s="230"/>
      <c r="H111" s="230"/>
      <c r="I111" s="230"/>
    </row>
    <row r="112" spans="1:9">
      <c r="A112" s="21" t="s">
        <v>142</v>
      </c>
      <c r="B112" s="231" t="s">
        <v>143</v>
      </c>
      <c r="C112" s="231"/>
      <c r="D112" s="231"/>
      <c r="E112" s="231"/>
      <c r="F112" s="231"/>
      <c r="G112" s="231"/>
      <c r="H112" s="22">
        <f>TRUNC(H107+H108+H109,4)</f>
        <v>8.6499999999999994E-2</v>
      </c>
      <c r="I112" s="30"/>
    </row>
    <row r="113" spans="1:11">
      <c r="A113" s="23"/>
      <c r="B113" s="232">
        <v>100</v>
      </c>
      <c r="C113" s="232"/>
      <c r="D113" s="232"/>
      <c r="E113" s="232"/>
      <c r="F113" s="232"/>
      <c r="G113" s="232"/>
      <c r="H113" s="25"/>
      <c r="I113" s="31"/>
    </row>
    <row r="114" spans="1:11">
      <c r="A114" s="26"/>
      <c r="B114" s="24"/>
      <c r="C114" s="24"/>
      <c r="D114" s="24"/>
      <c r="E114" s="24"/>
      <c r="F114" s="24"/>
      <c r="G114" s="24"/>
      <c r="H114" s="25"/>
      <c r="I114" s="31"/>
    </row>
    <row r="115" spans="1:11">
      <c r="A115" s="23" t="s">
        <v>144</v>
      </c>
      <c r="B115" s="232" t="s">
        <v>145</v>
      </c>
      <c r="C115" s="232"/>
      <c r="D115" s="232"/>
      <c r="E115" s="232"/>
      <c r="F115" s="232"/>
      <c r="G115" s="232"/>
      <c r="H115" s="25"/>
      <c r="I115" s="31">
        <f>TRUNC(I128+I104+I105,2)</f>
        <v>3486.77</v>
      </c>
    </row>
    <row r="116" spans="1:11">
      <c r="A116" s="23"/>
      <c r="B116" s="24"/>
      <c r="C116" s="24"/>
      <c r="D116" s="24"/>
      <c r="E116" s="24"/>
      <c r="F116" s="24"/>
      <c r="G116" s="24"/>
      <c r="H116" s="25"/>
      <c r="I116" s="31"/>
    </row>
    <row r="117" spans="1:11">
      <c r="A117" s="23" t="s">
        <v>146</v>
      </c>
      <c r="B117" s="232" t="s">
        <v>147</v>
      </c>
      <c r="C117" s="232"/>
      <c r="D117" s="232"/>
      <c r="E117" s="232"/>
      <c r="F117" s="232"/>
      <c r="G117" s="232"/>
      <c r="H117" s="25"/>
      <c r="I117" s="31">
        <f>TRUNC(I115/(1-H112),2)</f>
        <v>3816.93</v>
      </c>
    </row>
    <row r="118" spans="1:11">
      <c r="A118" s="23"/>
      <c r="B118" s="24"/>
      <c r="C118" s="24"/>
      <c r="D118" s="24"/>
      <c r="E118" s="24"/>
      <c r="F118" s="24"/>
      <c r="G118" s="24"/>
      <c r="H118" s="25"/>
      <c r="I118" s="31"/>
    </row>
    <row r="119" spans="1:11">
      <c r="A119" s="27"/>
      <c r="B119" s="233" t="s">
        <v>148</v>
      </c>
      <c r="C119" s="233"/>
      <c r="D119" s="233"/>
      <c r="E119" s="233"/>
      <c r="F119" s="233"/>
      <c r="G119" s="233"/>
      <c r="H119" s="28"/>
      <c r="I119" s="32">
        <f>TRUNC(I117-I115,2)</f>
        <v>330.16</v>
      </c>
      <c r="K119" s="41"/>
    </row>
    <row r="120" spans="1:11">
      <c r="A120" s="10"/>
      <c r="B120" s="10"/>
      <c r="C120" s="10"/>
      <c r="D120" s="10"/>
      <c r="E120" s="10"/>
      <c r="F120" s="10"/>
      <c r="G120" s="10"/>
      <c r="H120" s="10"/>
      <c r="I120" s="16"/>
    </row>
    <row r="121" spans="1:11">
      <c r="A121" s="219" t="s">
        <v>149</v>
      </c>
      <c r="B121" s="219"/>
      <c r="C121" s="219"/>
      <c r="D121" s="219"/>
      <c r="E121" s="219"/>
      <c r="F121" s="219"/>
      <c r="G121" s="219"/>
      <c r="H121" s="219"/>
      <c r="I121" s="219"/>
      <c r="K121" s="33"/>
    </row>
    <row r="122" spans="1:11">
      <c r="A122" s="209" t="s">
        <v>150</v>
      </c>
      <c r="B122" s="209"/>
      <c r="C122" s="209"/>
      <c r="D122" s="209"/>
      <c r="E122" s="209"/>
      <c r="F122" s="209"/>
      <c r="G122" s="209"/>
      <c r="H122" s="209"/>
      <c r="I122" s="1" t="s">
        <v>49</v>
      </c>
    </row>
    <row r="123" spans="1:11">
      <c r="A123" s="2" t="s">
        <v>20</v>
      </c>
      <c r="B123" s="201" t="str">
        <f>A21</f>
        <v>MÓDULO 1 - COMPOSIÇÃO DA REMUNERAÇÃO</v>
      </c>
      <c r="C123" s="201"/>
      <c r="D123" s="201"/>
      <c r="E123" s="201"/>
      <c r="F123" s="201"/>
      <c r="G123" s="201"/>
      <c r="H123" s="201"/>
      <c r="I123" s="19">
        <f>I29</f>
        <v>1558.64</v>
      </c>
    </row>
    <row r="124" spans="1:11">
      <c r="A124" s="2" t="s">
        <v>23</v>
      </c>
      <c r="B124" s="201" t="str">
        <f>A31</f>
        <v>MÓDULO 2 – ENCARGOS E BENEFÍCIOS ANUAIS, MENSAIS E DIÁRIOS</v>
      </c>
      <c r="C124" s="201"/>
      <c r="D124" s="201"/>
      <c r="E124" s="201"/>
      <c r="F124" s="201"/>
      <c r="G124" s="201"/>
      <c r="H124" s="201"/>
      <c r="I124" s="19">
        <f>I62</f>
        <v>1197.7</v>
      </c>
    </row>
    <row r="125" spans="1:11">
      <c r="A125" s="2" t="s">
        <v>26</v>
      </c>
      <c r="B125" s="201" t="str">
        <f>A64</f>
        <v>MÓDULO 3 – PROVISÃO PARA RESCISÃO</v>
      </c>
      <c r="C125" s="201"/>
      <c r="D125" s="201"/>
      <c r="E125" s="201"/>
      <c r="F125" s="201"/>
      <c r="G125" s="201"/>
      <c r="H125" s="201"/>
      <c r="I125" s="19">
        <f>I72</f>
        <v>110.32</v>
      </c>
      <c r="K125" s="33"/>
    </row>
    <row r="126" spans="1:11">
      <c r="A126" s="2" t="s">
        <v>29</v>
      </c>
      <c r="B126" s="201" t="str">
        <f>A74</f>
        <v>MÓDULO 4 – CUSTO DE REPOSIÇÃO DO PROFISSIONAL AUSENTE</v>
      </c>
      <c r="C126" s="201"/>
      <c r="D126" s="201"/>
      <c r="E126" s="201"/>
      <c r="F126" s="201"/>
      <c r="G126" s="201"/>
      <c r="H126" s="201"/>
      <c r="I126" s="19">
        <f>I92</f>
        <v>265.73</v>
      </c>
      <c r="K126" s="33"/>
    </row>
    <row r="127" spans="1:11">
      <c r="A127" s="2" t="s">
        <v>54</v>
      </c>
      <c r="B127" s="201" t="str">
        <f>A94</f>
        <v>MÓDULO 5 – INSUMOS DIVERSOS</v>
      </c>
      <c r="C127" s="201"/>
      <c r="D127" s="201"/>
      <c r="E127" s="201"/>
      <c r="F127" s="201"/>
      <c r="G127" s="201"/>
      <c r="H127" s="201"/>
      <c r="I127" s="19">
        <f>I100</f>
        <v>37.6</v>
      </c>
    </row>
    <row r="128" spans="1:11">
      <c r="A128" s="1"/>
      <c r="B128" s="209" t="s">
        <v>151</v>
      </c>
      <c r="C128" s="209"/>
      <c r="D128" s="209"/>
      <c r="E128" s="209"/>
      <c r="F128" s="209"/>
      <c r="G128" s="209"/>
      <c r="H128" s="209"/>
      <c r="I128" s="15">
        <f>TRUNC(SUM(I123:I127),2)</f>
        <v>3169.99</v>
      </c>
      <c r="K128" s="41"/>
    </row>
    <row r="129" spans="1:9">
      <c r="A129" s="2" t="s">
        <v>56</v>
      </c>
      <c r="B129" s="201" t="str">
        <f>A102</f>
        <v>MÓDULO 6 – CUSTOS INDIRETOS, TRIBUTOS E LUCRO</v>
      </c>
      <c r="C129" s="201"/>
      <c r="D129" s="201"/>
      <c r="E129" s="201"/>
      <c r="F129" s="201"/>
      <c r="G129" s="201"/>
      <c r="H129" s="201"/>
      <c r="I129" s="19">
        <f>I110</f>
        <v>646.94000000000005</v>
      </c>
    </row>
    <row r="130" spans="1:9">
      <c r="A130" s="209" t="s">
        <v>185</v>
      </c>
      <c r="B130" s="209"/>
      <c r="C130" s="209"/>
      <c r="D130" s="209"/>
      <c r="E130" s="209"/>
      <c r="F130" s="209"/>
      <c r="G130" s="209"/>
      <c r="H130" s="209"/>
      <c r="I130" s="15">
        <f>TRUNC(SUM(I128:I129),2)</f>
        <v>3816.93</v>
      </c>
    </row>
    <row r="131" spans="1:9" hidden="1">
      <c r="A131" s="209" t="s">
        <v>153</v>
      </c>
      <c r="B131" s="209"/>
      <c r="C131" s="209"/>
      <c r="D131" s="235">
        <v>0</v>
      </c>
      <c r="E131" s="236"/>
      <c r="F131" s="236"/>
      <c r="G131" s="236"/>
      <c r="H131" s="236"/>
      <c r="I131" s="237"/>
    </row>
    <row r="132" spans="1:9" hidden="1">
      <c r="A132" s="2"/>
      <c r="B132" s="199" t="s">
        <v>154</v>
      </c>
      <c r="C132" s="199"/>
      <c r="D132" s="199"/>
      <c r="E132" s="199"/>
      <c r="F132" s="199"/>
      <c r="G132" s="199"/>
      <c r="H132" s="1"/>
      <c r="I132" s="1"/>
    </row>
    <row r="133" spans="1:9" ht="40.5" hidden="1" customHeight="1">
      <c r="A133" s="234" t="s">
        <v>155</v>
      </c>
      <c r="B133" s="234"/>
      <c r="C133" s="234" t="s">
        <v>156</v>
      </c>
      <c r="D133" s="234"/>
      <c r="E133" s="234" t="s">
        <v>157</v>
      </c>
      <c r="F133" s="234"/>
      <c r="G133" s="43" t="s">
        <v>158</v>
      </c>
      <c r="H133" s="43" t="s">
        <v>159</v>
      </c>
      <c r="I133" s="1" t="s">
        <v>49</v>
      </c>
    </row>
    <row r="134" spans="1:9" hidden="1">
      <c r="A134" s="199" t="s">
        <v>160</v>
      </c>
      <c r="B134" s="199"/>
      <c r="C134" s="201" t="s">
        <v>161</v>
      </c>
      <c r="D134" s="201"/>
      <c r="E134" s="199"/>
      <c r="F134" s="199"/>
      <c r="G134" s="5" t="s">
        <v>161</v>
      </c>
      <c r="H134" s="5"/>
      <c r="I134" s="19">
        <v>0</v>
      </c>
    </row>
    <row r="135" spans="1:9" hidden="1">
      <c r="A135" s="199" t="s">
        <v>162</v>
      </c>
      <c r="B135" s="199"/>
      <c r="C135" s="201" t="s">
        <v>161</v>
      </c>
      <c r="D135" s="201"/>
      <c r="E135" s="199"/>
      <c r="F135" s="199"/>
      <c r="G135" s="5" t="s">
        <v>161</v>
      </c>
      <c r="H135" s="5"/>
      <c r="I135" s="19">
        <v>0</v>
      </c>
    </row>
    <row r="136" spans="1:9" hidden="1">
      <c r="A136" s="199" t="s">
        <v>163</v>
      </c>
      <c r="B136" s="199"/>
      <c r="C136" s="201" t="s">
        <v>161</v>
      </c>
      <c r="D136" s="201"/>
      <c r="E136" s="199"/>
      <c r="F136" s="199"/>
      <c r="G136" s="5" t="s">
        <v>161</v>
      </c>
      <c r="H136" s="5"/>
      <c r="I136" s="19">
        <v>0</v>
      </c>
    </row>
    <row r="137" spans="1:9" hidden="1">
      <c r="A137" s="199" t="s">
        <v>164</v>
      </c>
      <c r="B137" s="199"/>
      <c r="C137" s="201" t="s">
        <v>161</v>
      </c>
      <c r="D137" s="201"/>
      <c r="E137" s="199"/>
      <c r="F137" s="199"/>
      <c r="G137" s="5" t="s">
        <v>161</v>
      </c>
      <c r="H137" s="5"/>
      <c r="I137" s="19">
        <v>0</v>
      </c>
    </row>
    <row r="138" spans="1:9" hidden="1">
      <c r="A138" s="209"/>
      <c r="B138" s="209"/>
      <c r="C138" s="199"/>
      <c r="D138" s="199"/>
      <c r="E138" s="199"/>
      <c r="F138" s="199"/>
      <c r="G138" s="8"/>
      <c r="H138" s="8"/>
      <c r="I138" s="19"/>
    </row>
    <row r="139" spans="1:9" hidden="1">
      <c r="A139" s="209"/>
      <c r="B139" s="209"/>
      <c r="C139" s="199">
        <v>0</v>
      </c>
      <c r="D139" s="199"/>
      <c r="E139" s="199"/>
      <c r="F139" s="199"/>
      <c r="G139" s="5"/>
      <c r="H139" s="5"/>
      <c r="I139" s="19"/>
    </row>
    <row r="140" spans="1:9" hidden="1">
      <c r="A140" s="209" t="s">
        <v>165</v>
      </c>
      <c r="B140" s="209"/>
      <c r="C140" s="209"/>
      <c r="D140" s="209"/>
      <c r="E140" s="209"/>
      <c r="F140" s="209"/>
      <c r="G140" s="209"/>
      <c r="H140" s="209"/>
      <c r="I140" s="15">
        <f>SUM(I138:I139)</f>
        <v>0</v>
      </c>
    </row>
    <row r="141" spans="1:9" hidden="1">
      <c r="A141" s="5"/>
      <c r="B141" s="5"/>
      <c r="C141" s="5"/>
      <c r="D141" s="5"/>
      <c r="E141" s="5"/>
      <c r="F141" s="5"/>
      <c r="G141" s="5"/>
      <c r="H141" s="5"/>
      <c r="I141" s="5"/>
    </row>
    <row r="142" spans="1:9" hidden="1">
      <c r="A142" s="2" t="s">
        <v>166</v>
      </c>
      <c r="B142" s="199" t="s">
        <v>167</v>
      </c>
      <c r="C142" s="199"/>
      <c r="D142" s="199"/>
      <c r="E142" s="199"/>
      <c r="F142" s="199"/>
      <c r="G142" s="199"/>
      <c r="H142" s="1"/>
      <c r="I142" s="1"/>
    </row>
    <row r="143" spans="1:9" hidden="1">
      <c r="A143" s="209" t="s">
        <v>168</v>
      </c>
      <c r="B143" s="209"/>
      <c r="C143" s="209"/>
      <c r="D143" s="209"/>
      <c r="E143" s="209"/>
      <c r="F143" s="209"/>
      <c r="G143" s="209"/>
      <c r="H143" s="209"/>
      <c r="I143" s="209"/>
    </row>
    <row r="144" spans="1:9" hidden="1">
      <c r="A144" s="2"/>
      <c r="B144" s="229" t="s">
        <v>3</v>
      </c>
      <c r="C144" s="229"/>
      <c r="D144" s="229"/>
      <c r="E144" s="229"/>
      <c r="F144" s="229"/>
      <c r="G144" s="229"/>
      <c r="H144" s="229"/>
      <c r="I144" s="1" t="s">
        <v>49</v>
      </c>
    </row>
    <row r="145" spans="1:9" hidden="1">
      <c r="A145" s="2" t="s">
        <v>20</v>
      </c>
      <c r="B145" s="201" t="s">
        <v>169</v>
      </c>
      <c r="C145" s="201"/>
      <c r="D145" s="201"/>
      <c r="E145" s="201"/>
      <c r="F145" s="201"/>
      <c r="G145" s="201"/>
      <c r="H145" s="201"/>
      <c r="I145" s="19">
        <f>I107</f>
        <v>24.810044999999999</v>
      </c>
    </row>
    <row r="146" spans="1:9" hidden="1">
      <c r="A146" s="2" t="s">
        <v>23</v>
      </c>
      <c r="B146" s="201" t="s">
        <v>170</v>
      </c>
      <c r="C146" s="201"/>
      <c r="D146" s="201"/>
      <c r="E146" s="201"/>
      <c r="F146" s="201"/>
      <c r="G146" s="201"/>
      <c r="H146" s="201"/>
      <c r="I146" s="19" t="e">
        <f>#REF!</f>
        <v>#REF!</v>
      </c>
    </row>
    <row r="147" spans="1:9" hidden="1">
      <c r="A147" s="2" t="s">
        <v>26</v>
      </c>
      <c r="B147" s="201" t="s">
        <v>171</v>
      </c>
      <c r="C147" s="201"/>
      <c r="D147" s="201"/>
      <c r="E147" s="201"/>
      <c r="F147" s="201"/>
      <c r="G147" s="201"/>
      <c r="H147" s="201"/>
      <c r="I147" s="19">
        <f>I110</f>
        <v>646.94000000000005</v>
      </c>
    </row>
    <row r="148" spans="1:9" hidden="1">
      <c r="A148" s="199" t="s">
        <v>172</v>
      </c>
      <c r="B148" s="199"/>
      <c r="C148" s="199"/>
      <c r="D148" s="199"/>
      <c r="E148" s="199"/>
      <c r="F148" s="199"/>
      <c r="G148" s="199"/>
      <c r="H148" s="199"/>
      <c r="I148" s="15" t="e">
        <f>SUM(I145:I147)</f>
        <v>#REF!</v>
      </c>
    </row>
    <row r="149" spans="1:9" hidden="1">
      <c r="A149" s="2" t="s">
        <v>173</v>
      </c>
      <c r="B149" s="5" t="s">
        <v>174</v>
      </c>
      <c r="C149" s="5"/>
      <c r="D149" s="5"/>
      <c r="E149" s="5"/>
      <c r="F149" s="5"/>
      <c r="G149" s="5"/>
      <c r="H149" s="5"/>
      <c r="I149" s="5"/>
    </row>
    <row r="150" spans="1:9" hidden="1">
      <c r="A150" s="5"/>
      <c r="B150" s="5"/>
      <c r="C150" s="5"/>
      <c r="D150" s="5"/>
      <c r="E150" s="5"/>
      <c r="F150" s="5"/>
      <c r="G150" s="5"/>
      <c r="H150" s="5"/>
      <c r="I150" s="5"/>
    </row>
    <row r="151" spans="1:9" hidden="1">
      <c r="A151" s="5"/>
      <c r="B151" s="5"/>
      <c r="C151" s="5"/>
      <c r="D151" s="5"/>
      <c r="E151" s="5"/>
      <c r="F151" s="5"/>
      <c r="G151" s="5"/>
      <c r="H151" s="5"/>
      <c r="I151" s="5"/>
    </row>
    <row r="152" spans="1:9" hidden="1">
      <c r="A152" s="209" t="s">
        <v>175</v>
      </c>
      <c r="B152" s="209"/>
      <c r="C152" s="209"/>
      <c r="D152" s="243">
        <f>D131*I130</f>
        <v>0</v>
      </c>
      <c r="E152" s="243"/>
      <c r="F152" s="243"/>
      <c r="G152" s="243"/>
      <c r="H152" s="243"/>
      <c r="I152" s="243"/>
    </row>
    <row r="153" spans="1:9">
      <c r="A153" s="11"/>
      <c r="B153" s="11"/>
      <c r="C153" s="11"/>
      <c r="D153" s="53"/>
      <c r="E153" s="53"/>
      <c r="F153" s="53"/>
      <c r="G153" s="53"/>
      <c r="H153" s="53"/>
      <c r="I153" s="53"/>
    </row>
    <row r="155" spans="1:9" ht="66" customHeight="1">
      <c r="A155" s="239" t="s">
        <v>176</v>
      </c>
      <c r="B155" s="240"/>
      <c r="C155" s="240"/>
      <c r="D155" s="240"/>
      <c r="E155" s="240"/>
      <c r="F155" s="240"/>
      <c r="G155" s="240"/>
      <c r="H155" s="240"/>
      <c r="I155" s="240"/>
    </row>
    <row r="156" spans="1:9" ht="12.75" customHeight="1">
      <c r="A156" s="46"/>
      <c r="B156" s="47"/>
      <c r="C156" s="47"/>
      <c r="D156" s="47"/>
      <c r="E156" s="47"/>
      <c r="F156" s="47"/>
      <c r="G156" s="47"/>
      <c r="H156" s="47"/>
      <c r="I156" s="47"/>
    </row>
    <row r="157" spans="1:9" ht="26.25" customHeight="1">
      <c r="A157" s="241" t="s">
        <v>177</v>
      </c>
      <c r="B157" s="242"/>
      <c r="C157" s="242"/>
      <c r="D157" s="242"/>
      <c r="E157" s="242"/>
      <c r="F157" s="242"/>
      <c r="G157" s="242"/>
      <c r="H157" s="242"/>
      <c r="I157" s="242"/>
    </row>
    <row r="159" spans="1:9" ht="28.5" customHeight="1">
      <c r="A159" s="238" t="s">
        <v>178</v>
      </c>
      <c r="B159" s="238"/>
      <c r="C159" s="238"/>
      <c r="D159" s="238"/>
      <c r="E159" s="238"/>
      <c r="F159" s="238"/>
      <c r="G159" s="238"/>
      <c r="H159" s="238"/>
    </row>
    <row r="162" spans="1:5">
      <c r="A162" s="17" t="s">
        <v>179</v>
      </c>
      <c r="B162" s="17">
        <f>I130/I123</f>
        <v>2.4488849253195091</v>
      </c>
    </row>
    <row r="163" spans="1:5">
      <c r="A163" s="33"/>
      <c r="B163" s="17"/>
      <c r="E163" s="42"/>
    </row>
    <row r="164" spans="1:5">
      <c r="A164" s="17" t="s">
        <v>180</v>
      </c>
      <c r="B164" s="17"/>
      <c r="C164" s="33">
        <f>1*'Servente com insumos'!I130</f>
        <v>4918.7700000000004</v>
      </c>
    </row>
    <row r="165" spans="1:5">
      <c r="A165" s="17" t="s">
        <v>181</v>
      </c>
      <c r="B165" s="17"/>
      <c r="C165" s="33">
        <f>2*H8*C164</f>
        <v>236100.96000000002</v>
      </c>
    </row>
    <row r="166" spans="1:5">
      <c r="A166" s="42"/>
    </row>
    <row r="167" spans="1:5">
      <c r="A167" s="42"/>
    </row>
  </sheetData>
  <mergeCells count="172">
    <mergeCell ref="A159:H159"/>
    <mergeCell ref="B147:H147"/>
    <mergeCell ref="A148:H148"/>
    <mergeCell ref="A152:C152"/>
    <mergeCell ref="D152:I152"/>
    <mergeCell ref="A155:I155"/>
    <mergeCell ref="A157:I157"/>
    <mergeCell ref="A140:H140"/>
    <mergeCell ref="B142:G142"/>
    <mergeCell ref="A143:I143"/>
    <mergeCell ref="B144:H144"/>
    <mergeCell ref="B145:H145"/>
    <mergeCell ref="B146:H146"/>
    <mergeCell ref="A138:B138"/>
    <mergeCell ref="C138:D138"/>
    <mergeCell ref="E138:F138"/>
    <mergeCell ref="A139:B139"/>
    <mergeCell ref="C139:D139"/>
    <mergeCell ref="E139:F139"/>
    <mergeCell ref="A136:B136"/>
    <mergeCell ref="C136:D136"/>
    <mergeCell ref="E136:F136"/>
    <mergeCell ref="A137:B137"/>
    <mergeCell ref="C137:D137"/>
    <mergeCell ref="E137:F137"/>
    <mergeCell ref="A134:B134"/>
    <mergeCell ref="C134:D134"/>
    <mergeCell ref="E134:F134"/>
    <mergeCell ref="A135:B135"/>
    <mergeCell ref="C135:D135"/>
    <mergeCell ref="E135:F135"/>
    <mergeCell ref="A131:C131"/>
    <mergeCell ref="D131:I131"/>
    <mergeCell ref="B132:G132"/>
    <mergeCell ref="A133:B133"/>
    <mergeCell ref="C133:D133"/>
    <mergeCell ref="E133:F133"/>
    <mergeCell ref="B125:H125"/>
    <mergeCell ref="B126:H126"/>
    <mergeCell ref="B127:H127"/>
    <mergeCell ref="B128:H128"/>
    <mergeCell ref="B129:H129"/>
    <mergeCell ref="A130:H130"/>
    <mergeCell ref="B117:G117"/>
    <mergeCell ref="B119:G119"/>
    <mergeCell ref="A121:I121"/>
    <mergeCell ref="A122:H122"/>
    <mergeCell ref="B123:H123"/>
    <mergeCell ref="B124:H124"/>
    <mergeCell ref="B109:G109"/>
    <mergeCell ref="A110:G110"/>
    <mergeCell ref="B111:I111"/>
    <mergeCell ref="B112:G112"/>
    <mergeCell ref="B113:G113"/>
    <mergeCell ref="B115:G115"/>
    <mergeCell ref="B103:G103"/>
    <mergeCell ref="B104:G104"/>
    <mergeCell ref="B105:G105"/>
    <mergeCell ref="B106:G106"/>
    <mergeCell ref="B107:G107"/>
    <mergeCell ref="B108:G108"/>
    <mergeCell ref="B97:G97"/>
    <mergeCell ref="B98:G98"/>
    <mergeCell ref="B99:G99"/>
    <mergeCell ref="A100:G100"/>
    <mergeCell ref="A101:I101"/>
    <mergeCell ref="A102:I102"/>
    <mergeCell ref="B91:H91"/>
    <mergeCell ref="A92:H92"/>
    <mergeCell ref="A93:I93"/>
    <mergeCell ref="A94:I94"/>
    <mergeCell ref="B95:G95"/>
    <mergeCell ref="B96:G96"/>
    <mergeCell ref="B85:G85"/>
    <mergeCell ref="A86:G86"/>
    <mergeCell ref="A87:I87"/>
    <mergeCell ref="A88:I88"/>
    <mergeCell ref="A89:H89"/>
    <mergeCell ref="B90:H90"/>
    <mergeCell ref="B79:G79"/>
    <mergeCell ref="B80:G80"/>
    <mergeCell ref="B81:G81"/>
    <mergeCell ref="A82:G82"/>
    <mergeCell ref="A83:I83"/>
    <mergeCell ref="A84:G84"/>
    <mergeCell ref="A73:I73"/>
    <mergeCell ref="A74:I74"/>
    <mergeCell ref="A75:G75"/>
    <mergeCell ref="B76:G76"/>
    <mergeCell ref="B77:G77"/>
    <mergeCell ref="B78:G78"/>
    <mergeCell ref="B67:G67"/>
    <mergeCell ref="B68:G68"/>
    <mergeCell ref="B69:G69"/>
    <mergeCell ref="B70:G70"/>
    <mergeCell ref="B71:G71"/>
    <mergeCell ref="A72:G72"/>
    <mergeCell ref="B61:H61"/>
    <mergeCell ref="A62:H62"/>
    <mergeCell ref="A63:I63"/>
    <mergeCell ref="A64:I64"/>
    <mergeCell ref="B65:G65"/>
    <mergeCell ref="B66:G66"/>
    <mergeCell ref="A55:H55"/>
    <mergeCell ref="A56:I56"/>
    <mergeCell ref="A57:I57"/>
    <mergeCell ref="A58:H58"/>
    <mergeCell ref="B59:H59"/>
    <mergeCell ref="B60:H60"/>
    <mergeCell ref="B49:G49"/>
    <mergeCell ref="B50:G50"/>
    <mergeCell ref="B51:G51"/>
    <mergeCell ref="B52:G52"/>
    <mergeCell ref="B53:G53"/>
    <mergeCell ref="B54:G54"/>
    <mergeCell ref="B43:G43"/>
    <mergeCell ref="B44:G44"/>
    <mergeCell ref="B45:G45"/>
    <mergeCell ref="A46:G46"/>
    <mergeCell ref="A47:I47"/>
    <mergeCell ref="A48:G48"/>
    <mergeCell ref="A37:G37"/>
    <mergeCell ref="B38:G38"/>
    <mergeCell ref="B39:G39"/>
    <mergeCell ref="B40:G40"/>
    <mergeCell ref="B41:G41"/>
    <mergeCell ref="B42:G42"/>
    <mergeCell ref="A31:I31"/>
    <mergeCell ref="A32:G32"/>
    <mergeCell ref="B33:G33"/>
    <mergeCell ref="B34:G34"/>
    <mergeCell ref="A35:G35"/>
    <mergeCell ref="A36:I36"/>
    <mergeCell ref="B24:G24"/>
    <mergeCell ref="B25:G25"/>
    <mergeCell ref="B26:G26"/>
    <mergeCell ref="B27:G27"/>
    <mergeCell ref="B28:G28"/>
    <mergeCell ref="A29:H29"/>
    <mergeCell ref="B19:G19"/>
    <mergeCell ref="H19:I19"/>
    <mergeCell ref="A20:I20"/>
    <mergeCell ref="A21:I21"/>
    <mergeCell ref="B22:G22"/>
    <mergeCell ref="B23:G23"/>
    <mergeCell ref="B16:G16"/>
    <mergeCell ref="H16:I16"/>
    <mergeCell ref="B17:G17"/>
    <mergeCell ref="H17:I17"/>
    <mergeCell ref="B18:G18"/>
    <mergeCell ref="H18:I18"/>
    <mergeCell ref="A12:B12"/>
    <mergeCell ref="C12:D12"/>
    <mergeCell ref="E12:I12"/>
    <mergeCell ref="A14:I14"/>
    <mergeCell ref="B15:G15"/>
    <mergeCell ref="H15:I15"/>
    <mergeCell ref="B7:G7"/>
    <mergeCell ref="H7:I7"/>
    <mergeCell ref="B8:G8"/>
    <mergeCell ref="H8:I8"/>
    <mergeCell ref="A10:I10"/>
    <mergeCell ref="A11:B11"/>
    <mergeCell ref="C11:D11"/>
    <mergeCell ref="E11:I11"/>
    <mergeCell ref="A1:I1"/>
    <mergeCell ref="A2:I2"/>
    <mergeCell ref="A4:I4"/>
    <mergeCell ref="B5:G5"/>
    <mergeCell ref="H5:I5"/>
    <mergeCell ref="B6:G6"/>
    <mergeCell ref="H6:I6"/>
  </mergeCells>
  <pageMargins left="0.511811024" right="0.511811024" top="0.78740157499999996" bottom="0.78740157499999996" header="0.31496062000000002" footer="0.31496062000000002"/>
  <pageSetup paperSize="9" scale="6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16D7-3E4E-433E-9AE8-995FCC9B930E}">
  <dimension ref="A1:K167"/>
  <sheetViews>
    <sheetView topLeftCell="A91" workbookViewId="0">
      <selection activeCell="I130" sqref="I130"/>
    </sheetView>
  </sheetViews>
  <sheetFormatPr defaultColWidth="9.140625" defaultRowHeight="12.75"/>
  <cols>
    <col min="1" max="1" width="10" customWidth="1"/>
    <col min="2" max="2" width="11.42578125" customWidth="1"/>
    <col min="3" max="3" width="15" customWidth="1"/>
    <col min="4" max="4" width="14.140625" customWidth="1"/>
    <col min="5" max="5" width="17.5703125" customWidth="1"/>
    <col min="6" max="6" width="14.5703125" customWidth="1"/>
    <col min="7" max="7" width="19.140625" customWidth="1"/>
    <col min="8" max="8" width="11" bestFit="1" customWidth="1"/>
    <col min="9" max="9" width="13.42578125" customWidth="1"/>
    <col min="10" max="10" width="9.5703125" customWidth="1"/>
    <col min="11" max="11" width="14" customWidth="1"/>
    <col min="13" max="13" width="9.5703125" customWidth="1"/>
  </cols>
  <sheetData>
    <row r="1" spans="1:9">
      <c r="A1" s="202"/>
      <c r="B1" s="202"/>
      <c r="C1" s="202"/>
      <c r="D1" s="202"/>
      <c r="E1" s="202"/>
      <c r="F1" s="202"/>
      <c r="G1" s="202"/>
      <c r="H1" s="202"/>
      <c r="I1" s="202"/>
    </row>
    <row r="2" spans="1:9">
      <c r="A2" s="203" t="s">
        <v>182</v>
      </c>
      <c r="B2" s="203"/>
      <c r="C2" s="203"/>
      <c r="D2" s="203"/>
      <c r="E2" s="203"/>
      <c r="F2" s="203"/>
      <c r="G2" s="203"/>
      <c r="H2" s="203"/>
      <c r="I2" s="203"/>
    </row>
    <row r="3" spans="1:9">
      <c r="A3" s="9"/>
      <c r="B3" s="9"/>
      <c r="C3" s="9"/>
      <c r="D3" s="9"/>
      <c r="E3" s="9"/>
      <c r="F3" s="9"/>
      <c r="G3" s="9"/>
      <c r="H3" s="9"/>
      <c r="I3" s="9"/>
    </row>
    <row r="4" spans="1:9">
      <c r="A4" s="200" t="s">
        <v>19</v>
      </c>
      <c r="B4" s="200"/>
      <c r="C4" s="200"/>
      <c r="D4" s="200"/>
      <c r="E4" s="200"/>
      <c r="F4" s="200"/>
      <c r="G4" s="200"/>
      <c r="H4" s="200"/>
      <c r="I4" s="200"/>
    </row>
    <row r="5" spans="1:9">
      <c r="A5" s="2" t="s">
        <v>20</v>
      </c>
      <c r="B5" s="201" t="s">
        <v>21</v>
      </c>
      <c r="C5" s="201"/>
      <c r="D5" s="201"/>
      <c r="E5" s="201"/>
      <c r="F5" s="201"/>
      <c r="G5" s="201"/>
      <c r="H5" s="204" t="s">
        <v>22</v>
      </c>
      <c r="I5" s="199"/>
    </row>
    <row r="6" spans="1:9">
      <c r="A6" s="2" t="s">
        <v>23</v>
      </c>
      <c r="B6" s="201" t="s">
        <v>24</v>
      </c>
      <c r="C6" s="201"/>
      <c r="D6" s="201"/>
      <c r="E6" s="201"/>
      <c r="F6" s="201"/>
      <c r="G6" s="201"/>
      <c r="H6" s="199" t="s">
        <v>25</v>
      </c>
      <c r="I6" s="199"/>
    </row>
    <row r="7" spans="1:9">
      <c r="A7" s="2" t="s">
        <v>26</v>
      </c>
      <c r="B7" s="201" t="s">
        <v>27</v>
      </c>
      <c r="C7" s="201"/>
      <c r="D7" s="201"/>
      <c r="E7" s="201"/>
      <c r="F7" s="201"/>
      <c r="G7" s="201"/>
      <c r="H7" s="197">
        <v>2022</v>
      </c>
      <c r="I7" s="199"/>
    </row>
    <row r="8" spans="1:9">
      <c r="A8" s="2" t="s">
        <v>29</v>
      </c>
      <c r="B8" s="201" t="s">
        <v>30</v>
      </c>
      <c r="C8" s="201"/>
      <c r="D8" s="201"/>
      <c r="E8" s="201"/>
      <c r="F8" s="201"/>
      <c r="G8" s="201"/>
      <c r="H8" s="199">
        <v>12</v>
      </c>
      <c r="I8" s="199"/>
    </row>
    <row r="9" spans="1:9">
      <c r="A9" s="10"/>
      <c r="B9" s="9"/>
      <c r="C9" s="9"/>
      <c r="D9" s="9"/>
      <c r="E9" s="9"/>
      <c r="F9" s="9"/>
      <c r="G9" s="9"/>
      <c r="H9" s="10"/>
      <c r="I9" s="10"/>
    </row>
    <row r="10" spans="1:9">
      <c r="A10" s="200" t="s">
        <v>31</v>
      </c>
      <c r="B10" s="200"/>
      <c r="C10" s="200"/>
      <c r="D10" s="200"/>
      <c r="E10" s="200"/>
      <c r="F10" s="200"/>
      <c r="G10" s="200"/>
      <c r="H10" s="200"/>
      <c r="I10" s="200"/>
    </row>
    <row r="11" spans="1:9">
      <c r="A11" s="199" t="s">
        <v>32</v>
      </c>
      <c r="B11" s="199"/>
      <c r="C11" s="199" t="s">
        <v>33</v>
      </c>
      <c r="D11" s="199"/>
      <c r="E11" s="199" t="s">
        <v>34</v>
      </c>
      <c r="F11" s="199"/>
      <c r="G11" s="199"/>
      <c r="H11" s="199"/>
      <c r="I11" s="199"/>
    </row>
    <row r="12" spans="1:9">
      <c r="A12" s="199" t="s">
        <v>35</v>
      </c>
      <c r="B12" s="199"/>
      <c r="C12" s="199" t="s">
        <v>36</v>
      </c>
      <c r="D12" s="199"/>
      <c r="E12" s="199">
        <v>2</v>
      </c>
      <c r="F12" s="199"/>
      <c r="G12" s="199"/>
      <c r="H12" s="199"/>
      <c r="I12" s="199"/>
    </row>
    <row r="13" spans="1:9">
      <c r="A13" s="10"/>
      <c r="B13" s="9"/>
      <c r="C13" s="9"/>
      <c r="D13" s="9"/>
      <c r="E13" s="9"/>
      <c r="F13" s="9"/>
      <c r="G13" s="9"/>
      <c r="H13" s="10"/>
      <c r="I13" s="10"/>
    </row>
    <row r="14" spans="1:9">
      <c r="A14" s="200" t="s">
        <v>37</v>
      </c>
      <c r="B14" s="200"/>
      <c r="C14" s="200"/>
      <c r="D14" s="200"/>
      <c r="E14" s="200"/>
      <c r="F14" s="200"/>
      <c r="G14" s="200"/>
      <c r="H14" s="200"/>
      <c r="I14" s="200"/>
    </row>
    <row r="15" spans="1:9">
      <c r="A15" s="2">
        <v>1</v>
      </c>
      <c r="B15" s="201" t="s">
        <v>38</v>
      </c>
      <c r="C15" s="201"/>
      <c r="D15" s="201"/>
      <c r="E15" s="201"/>
      <c r="F15" s="201"/>
      <c r="G15" s="201"/>
      <c r="H15" s="197" t="s">
        <v>39</v>
      </c>
      <c r="I15" s="199"/>
    </row>
    <row r="16" spans="1:9">
      <c r="A16" s="2">
        <v>2</v>
      </c>
      <c r="B16" s="201" t="s">
        <v>40</v>
      </c>
      <c r="C16" s="201"/>
      <c r="D16" s="201"/>
      <c r="E16" s="201"/>
      <c r="F16" s="201"/>
      <c r="G16" s="201"/>
      <c r="H16" s="205" t="s">
        <v>41</v>
      </c>
      <c r="I16" s="206"/>
    </row>
    <row r="17" spans="1:11">
      <c r="A17" s="2">
        <v>3</v>
      </c>
      <c r="B17" s="201" t="s">
        <v>42</v>
      </c>
      <c r="C17" s="201"/>
      <c r="D17" s="201"/>
      <c r="E17" s="201"/>
      <c r="F17" s="201"/>
      <c r="G17" s="201"/>
      <c r="H17" s="207">
        <v>1260.4000000000001</v>
      </c>
      <c r="I17" s="199"/>
    </row>
    <row r="18" spans="1:11">
      <c r="A18" s="2">
        <v>4</v>
      </c>
      <c r="B18" s="201" t="s">
        <v>43</v>
      </c>
      <c r="C18" s="201"/>
      <c r="D18" s="201"/>
      <c r="E18" s="201"/>
      <c r="F18" s="201"/>
      <c r="G18" s="201"/>
      <c r="H18" s="199" t="s">
        <v>44</v>
      </c>
      <c r="I18" s="199"/>
    </row>
    <row r="19" spans="1:11">
      <c r="A19" s="2">
        <v>5</v>
      </c>
      <c r="B19" s="201" t="s">
        <v>45</v>
      </c>
      <c r="C19" s="201"/>
      <c r="D19" s="201"/>
      <c r="E19" s="201"/>
      <c r="F19" s="201"/>
      <c r="G19" s="201"/>
      <c r="H19" s="204">
        <v>44927</v>
      </c>
      <c r="I19" s="199"/>
    </row>
    <row r="20" spans="1:11">
      <c r="A20" s="202"/>
      <c r="B20" s="202"/>
      <c r="C20" s="202"/>
      <c r="D20" s="202"/>
      <c r="E20" s="202"/>
      <c r="F20" s="202"/>
      <c r="G20" s="202"/>
      <c r="H20" s="202"/>
      <c r="I20" s="202"/>
    </row>
    <row r="21" spans="1:11">
      <c r="A21" s="208" t="s">
        <v>46</v>
      </c>
      <c r="B21" s="208"/>
      <c r="C21" s="208"/>
      <c r="D21" s="208"/>
      <c r="E21" s="208"/>
      <c r="F21" s="208"/>
      <c r="G21" s="208"/>
      <c r="H21" s="208"/>
      <c r="I21" s="208"/>
    </row>
    <row r="22" spans="1:11">
      <c r="A22" s="1">
        <v>1</v>
      </c>
      <c r="B22" s="209" t="s">
        <v>47</v>
      </c>
      <c r="C22" s="209"/>
      <c r="D22" s="209"/>
      <c r="E22" s="209"/>
      <c r="F22" s="209"/>
      <c r="G22" s="209"/>
      <c r="H22" s="1" t="s">
        <v>48</v>
      </c>
      <c r="I22" s="1" t="s">
        <v>49</v>
      </c>
    </row>
    <row r="23" spans="1:11">
      <c r="A23" s="1" t="s">
        <v>20</v>
      </c>
      <c r="B23" s="201" t="s">
        <v>50</v>
      </c>
      <c r="C23" s="201"/>
      <c r="D23" s="201"/>
      <c r="E23" s="201"/>
      <c r="F23" s="201"/>
      <c r="G23" s="201"/>
      <c r="H23" s="5"/>
      <c r="I23" s="19">
        <v>1558.64</v>
      </c>
    </row>
    <row r="24" spans="1:11">
      <c r="A24" s="1" t="s">
        <v>23</v>
      </c>
      <c r="B24" s="201" t="s">
        <v>51</v>
      </c>
      <c r="C24" s="201"/>
      <c r="D24" s="201"/>
      <c r="E24" s="201"/>
      <c r="F24" s="201"/>
      <c r="G24" s="201"/>
      <c r="H24" s="34">
        <v>0</v>
      </c>
      <c r="I24" s="19">
        <f>I23*H24</f>
        <v>0</v>
      </c>
      <c r="K24" s="41"/>
    </row>
    <row r="25" spans="1:11">
      <c r="A25" s="1" t="s">
        <v>26</v>
      </c>
      <c r="B25" s="201" t="s">
        <v>52</v>
      </c>
      <c r="C25" s="201"/>
      <c r="D25" s="201"/>
      <c r="E25" s="201"/>
      <c r="F25" s="201"/>
      <c r="G25" s="201"/>
      <c r="H25" s="34">
        <v>0</v>
      </c>
      <c r="I25" s="19">
        <f>H25*I23</f>
        <v>0</v>
      </c>
    </row>
    <row r="26" spans="1:11">
      <c r="A26" s="1" t="s">
        <v>29</v>
      </c>
      <c r="B26" s="201" t="s">
        <v>53</v>
      </c>
      <c r="C26" s="201"/>
      <c r="D26" s="201"/>
      <c r="E26" s="201"/>
      <c r="F26" s="201"/>
      <c r="G26" s="201"/>
      <c r="H26" s="34">
        <v>0</v>
      </c>
      <c r="I26" s="19">
        <f>(((I23+I24)/220)*H26*8*15)</f>
        <v>0</v>
      </c>
    </row>
    <row r="27" spans="1:11">
      <c r="A27" s="1" t="s">
        <v>54</v>
      </c>
      <c r="B27" s="201" t="s">
        <v>55</v>
      </c>
      <c r="C27" s="201"/>
      <c r="D27" s="201"/>
      <c r="E27" s="201"/>
      <c r="F27" s="201"/>
      <c r="G27" s="201"/>
      <c r="H27" s="35"/>
      <c r="I27" s="19">
        <v>0</v>
      </c>
    </row>
    <row r="28" spans="1:11">
      <c r="A28" s="1" t="s">
        <v>56</v>
      </c>
      <c r="B28" s="201" t="s">
        <v>57</v>
      </c>
      <c r="C28" s="201"/>
      <c r="D28" s="201"/>
      <c r="E28" s="201"/>
      <c r="F28" s="201"/>
      <c r="G28" s="201"/>
      <c r="H28" s="34"/>
      <c r="I28" s="19">
        <v>0</v>
      </c>
    </row>
    <row r="29" spans="1:11">
      <c r="A29" s="209" t="s">
        <v>58</v>
      </c>
      <c r="B29" s="209"/>
      <c r="C29" s="209"/>
      <c r="D29" s="209"/>
      <c r="E29" s="209"/>
      <c r="F29" s="209"/>
      <c r="G29" s="209"/>
      <c r="H29" s="209"/>
      <c r="I29" s="15">
        <f>TRUNC(SUM(I23:I28),2)</f>
        <v>1558.64</v>
      </c>
    </row>
    <row r="30" spans="1:11">
      <c r="A30" s="11"/>
      <c r="B30" s="11"/>
      <c r="C30" s="11"/>
      <c r="D30" s="11"/>
      <c r="E30" s="11"/>
      <c r="F30" s="11"/>
      <c r="G30" s="11"/>
      <c r="H30" s="11"/>
      <c r="I30" s="16"/>
    </row>
    <row r="31" spans="1:11">
      <c r="A31" s="208" t="s">
        <v>59</v>
      </c>
      <c r="B31" s="208"/>
      <c r="C31" s="208"/>
      <c r="D31" s="208"/>
      <c r="E31" s="208"/>
      <c r="F31" s="208"/>
      <c r="G31" s="208"/>
      <c r="H31" s="208"/>
      <c r="I31" s="208"/>
    </row>
    <row r="32" spans="1:11">
      <c r="A32" s="209" t="s">
        <v>60</v>
      </c>
      <c r="B32" s="209"/>
      <c r="C32" s="209"/>
      <c r="D32" s="209"/>
      <c r="E32" s="209"/>
      <c r="F32" s="209"/>
      <c r="G32" s="209"/>
      <c r="H32" s="1" t="s">
        <v>48</v>
      </c>
      <c r="I32" s="1" t="s">
        <v>49</v>
      </c>
    </row>
    <row r="33" spans="1:11">
      <c r="A33" s="1" t="s">
        <v>20</v>
      </c>
      <c r="B33" s="201" t="s">
        <v>61</v>
      </c>
      <c r="C33" s="201"/>
      <c r="D33" s="201"/>
      <c r="E33" s="201"/>
      <c r="F33" s="201"/>
      <c r="G33" s="201"/>
      <c r="H33" s="20">
        <v>8.3299999999999999E-2</v>
      </c>
      <c r="I33" s="19">
        <f>TRUNC($I$29*H33,2)</f>
        <v>129.83000000000001</v>
      </c>
    </row>
    <row r="34" spans="1:11">
      <c r="A34" s="1" t="s">
        <v>23</v>
      </c>
      <c r="B34" s="201" t="s">
        <v>62</v>
      </c>
      <c r="C34" s="201"/>
      <c r="D34" s="201"/>
      <c r="E34" s="201"/>
      <c r="F34" s="201"/>
      <c r="G34" s="201"/>
      <c r="H34" s="12">
        <v>0.121</v>
      </c>
      <c r="I34" s="19">
        <f>TRUNC(H34*I29,2)</f>
        <v>188.59</v>
      </c>
    </row>
    <row r="35" spans="1:11">
      <c r="A35" s="209" t="s">
        <v>63</v>
      </c>
      <c r="B35" s="209"/>
      <c r="C35" s="209"/>
      <c r="D35" s="209"/>
      <c r="E35" s="209"/>
      <c r="F35" s="209"/>
      <c r="G35" s="209"/>
      <c r="H35" s="13">
        <f>TRUNC(SUM(H33:H34),4)</f>
        <v>0.20430000000000001</v>
      </c>
      <c r="I35" s="15">
        <f>TRUNC(SUM(I33:I34),2)</f>
        <v>318.42</v>
      </c>
    </row>
    <row r="36" spans="1:11">
      <c r="A36" s="210"/>
      <c r="B36" s="211"/>
      <c r="C36" s="211"/>
      <c r="D36" s="211"/>
      <c r="E36" s="211"/>
      <c r="F36" s="211"/>
      <c r="G36" s="211"/>
      <c r="H36" s="211"/>
      <c r="I36" s="211"/>
      <c r="J36" s="17" t="s">
        <v>64</v>
      </c>
      <c r="K36" s="33">
        <f>I29+I35</f>
        <v>1877.0600000000002</v>
      </c>
    </row>
    <row r="37" spans="1:11">
      <c r="A37" s="209" t="s">
        <v>65</v>
      </c>
      <c r="B37" s="209"/>
      <c r="C37" s="209"/>
      <c r="D37" s="209"/>
      <c r="E37" s="209"/>
      <c r="F37" s="209"/>
      <c r="G37" s="209"/>
      <c r="H37" s="1" t="s">
        <v>48</v>
      </c>
      <c r="I37" s="1" t="s">
        <v>49</v>
      </c>
    </row>
    <row r="38" spans="1:11">
      <c r="A38" s="1" t="s">
        <v>20</v>
      </c>
      <c r="B38" s="201" t="s">
        <v>66</v>
      </c>
      <c r="C38" s="201"/>
      <c r="D38" s="201"/>
      <c r="E38" s="201"/>
      <c r="F38" s="201"/>
      <c r="G38" s="201"/>
      <c r="H38" s="20">
        <v>0.2</v>
      </c>
      <c r="I38" s="19">
        <f>H38*$K$36</f>
        <v>375.41200000000003</v>
      </c>
    </row>
    <row r="39" spans="1:11">
      <c r="A39" s="1" t="s">
        <v>23</v>
      </c>
      <c r="B39" s="201" t="s">
        <v>67</v>
      </c>
      <c r="C39" s="201"/>
      <c r="D39" s="201"/>
      <c r="E39" s="201"/>
      <c r="F39" s="201"/>
      <c r="G39" s="201"/>
      <c r="H39" s="20">
        <v>2.5000000000000001E-2</v>
      </c>
      <c r="I39" s="19">
        <f t="shared" ref="I39:I45" si="0">H39*$K$36</f>
        <v>46.926500000000004</v>
      </c>
    </row>
    <row r="40" spans="1:11">
      <c r="A40" s="1" t="s">
        <v>26</v>
      </c>
      <c r="B40" s="201" t="s">
        <v>68</v>
      </c>
      <c r="C40" s="201"/>
      <c r="D40" s="201"/>
      <c r="E40" s="201"/>
      <c r="F40" s="201"/>
      <c r="G40" s="201"/>
      <c r="H40" s="20">
        <v>1.4999999999999999E-2</v>
      </c>
      <c r="I40" s="19">
        <f t="shared" si="0"/>
        <v>28.155900000000003</v>
      </c>
    </row>
    <row r="41" spans="1:11">
      <c r="A41" s="1" t="s">
        <v>29</v>
      </c>
      <c r="B41" s="201" t="s">
        <v>69</v>
      </c>
      <c r="C41" s="201"/>
      <c r="D41" s="201"/>
      <c r="E41" s="201"/>
      <c r="F41" s="201"/>
      <c r="G41" s="201"/>
      <c r="H41" s="20">
        <v>1.4999999999999999E-2</v>
      </c>
      <c r="I41" s="19">
        <f t="shared" si="0"/>
        <v>28.155900000000003</v>
      </c>
    </row>
    <row r="42" spans="1:11">
      <c r="A42" s="1" t="s">
        <v>54</v>
      </c>
      <c r="B42" s="201" t="s">
        <v>70</v>
      </c>
      <c r="C42" s="201"/>
      <c r="D42" s="201"/>
      <c r="E42" s="201"/>
      <c r="F42" s="201"/>
      <c r="G42" s="201"/>
      <c r="H42" s="20">
        <v>0.01</v>
      </c>
      <c r="I42" s="19">
        <f t="shared" si="0"/>
        <v>18.770600000000002</v>
      </c>
    </row>
    <row r="43" spans="1:11">
      <c r="A43" s="1" t="s">
        <v>56</v>
      </c>
      <c r="B43" s="201" t="s">
        <v>71</v>
      </c>
      <c r="C43" s="201"/>
      <c r="D43" s="201"/>
      <c r="E43" s="201"/>
      <c r="F43" s="201"/>
      <c r="G43" s="201"/>
      <c r="H43" s="20">
        <v>6.0000000000000001E-3</v>
      </c>
      <c r="I43" s="19">
        <f t="shared" si="0"/>
        <v>11.262360000000001</v>
      </c>
    </row>
    <row r="44" spans="1:11">
      <c r="A44" s="1" t="s">
        <v>72</v>
      </c>
      <c r="B44" s="201" t="s">
        <v>73</v>
      </c>
      <c r="C44" s="201"/>
      <c r="D44" s="201"/>
      <c r="E44" s="201"/>
      <c r="F44" s="201"/>
      <c r="G44" s="201"/>
      <c r="H44" s="20">
        <v>2E-3</v>
      </c>
      <c r="I44" s="19">
        <f t="shared" si="0"/>
        <v>3.7541200000000003</v>
      </c>
    </row>
    <row r="45" spans="1:11">
      <c r="A45" s="1" t="s">
        <v>74</v>
      </c>
      <c r="B45" s="201" t="s">
        <v>75</v>
      </c>
      <c r="C45" s="201"/>
      <c r="D45" s="201"/>
      <c r="E45" s="201"/>
      <c r="F45" s="201"/>
      <c r="G45" s="201"/>
      <c r="H45" s="20">
        <v>0.08</v>
      </c>
      <c r="I45" s="19">
        <f t="shared" si="0"/>
        <v>150.16480000000001</v>
      </c>
    </row>
    <row r="46" spans="1:11">
      <c r="A46" s="209" t="s">
        <v>76</v>
      </c>
      <c r="B46" s="209"/>
      <c r="C46" s="209"/>
      <c r="D46" s="209"/>
      <c r="E46" s="209"/>
      <c r="F46" s="209"/>
      <c r="G46" s="209"/>
      <c r="H46" s="13">
        <f>SUM(H38:H45)</f>
        <v>0.35300000000000004</v>
      </c>
      <c r="I46" s="15">
        <f>TRUNC(SUM(I38:I45),2)</f>
        <v>662.6</v>
      </c>
    </row>
    <row r="47" spans="1:11">
      <c r="A47" s="212"/>
      <c r="B47" s="212"/>
      <c r="C47" s="212"/>
      <c r="D47" s="212"/>
      <c r="E47" s="212"/>
      <c r="F47" s="212"/>
      <c r="G47" s="212"/>
      <c r="H47" s="212"/>
      <c r="I47" s="213"/>
    </row>
    <row r="48" spans="1:11">
      <c r="A48" s="209" t="s">
        <v>77</v>
      </c>
      <c r="B48" s="209"/>
      <c r="C48" s="209"/>
      <c r="D48" s="209"/>
      <c r="E48" s="209"/>
      <c r="F48" s="209"/>
      <c r="G48" s="209"/>
      <c r="H48" s="13"/>
      <c r="I48" s="1" t="s">
        <v>49</v>
      </c>
    </row>
    <row r="49" spans="1:11">
      <c r="A49" s="1" t="s">
        <v>20</v>
      </c>
      <c r="B49" s="214" t="s">
        <v>78</v>
      </c>
      <c r="C49" s="215"/>
      <c r="D49" s="215"/>
      <c r="E49" s="215"/>
      <c r="F49" s="215"/>
      <c r="G49" s="215"/>
      <c r="H49" s="2">
        <v>52</v>
      </c>
      <c r="I49" s="18">
        <f>3.9*H49-K49</f>
        <v>109.28159999999998</v>
      </c>
      <c r="K49">
        <f>I23*0.06</f>
        <v>93.5184</v>
      </c>
    </row>
    <row r="50" spans="1:11">
      <c r="A50" s="1" t="s">
        <v>23</v>
      </c>
      <c r="B50" s="214" t="s">
        <v>79</v>
      </c>
      <c r="C50" s="215"/>
      <c r="D50" s="215"/>
      <c r="E50" s="215"/>
      <c r="F50" s="215"/>
      <c r="G50" s="215"/>
      <c r="H50" s="2" t="s">
        <v>22</v>
      </c>
      <c r="I50" s="18">
        <f>210.23-210.23*0.2</f>
        <v>168.184</v>
      </c>
      <c r="K50" s="41">
        <f>568.04*12.47%+568.04</f>
        <v>638.8745879999999</v>
      </c>
    </row>
    <row r="51" spans="1:11">
      <c r="A51" s="1" t="s">
        <v>26</v>
      </c>
      <c r="B51" s="215" t="s">
        <v>80</v>
      </c>
      <c r="C51" s="215"/>
      <c r="D51" s="215"/>
      <c r="E51" s="215"/>
      <c r="F51" s="215"/>
      <c r="G51" s="215"/>
      <c r="H51" s="2" t="s">
        <v>22</v>
      </c>
      <c r="I51" s="18">
        <v>13.08</v>
      </c>
      <c r="K51" s="41">
        <f>105.29*12.13%+105.29</f>
        <v>118.061677</v>
      </c>
    </row>
    <row r="52" spans="1:11">
      <c r="A52" s="1" t="s">
        <v>29</v>
      </c>
      <c r="B52" s="216" t="s">
        <v>81</v>
      </c>
      <c r="C52" s="217"/>
      <c r="D52" s="217"/>
      <c r="E52" s="217"/>
      <c r="F52" s="217"/>
      <c r="G52" s="218"/>
      <c r="H52" s="2" t="s">
        <v>22</v>
      </c>
      <c r="I52" s="18">
        <v>116.69</v>
      </c>
      <c r="K52" s="41">
        <f>11.83*12.13%+11.83</f>
        <v>13.264979</v>
      </c>
    </row>
    <row r="53" spans="1:11">
      <c r="A53" s="1" t="s">
        <v>54</v>
      </c>
      <c r="B53" s="216" t="s">
        <v>82</v>
      </c>
      <c r="C53" s="217"/>
      <c r="D53" s="217"/>
      <c r="E53" s="217"/>
      <c r="F53" s="217"/>
      <c r="G53" s="218"/>
      <c r="H53" s="2" t="s">
        <v>22</v>
      </c>
      <c r="I53" s="18">
        <v>0.73</v>
      </c>
    </row>
    <row r="54" spans="1:11">
      <c r="A54" s="1" t="s">
        <v>56</v>
      </c>
      <c r="B54" s="215" t="s">
        <v>83</v>
      </c>
      <c r="C54" s="215"/>
      <c r="D54" s="215"/>
      <c r="E54" s="215"/>
      <c r="F54" s="215"/>
      <c r="G54" s="215"/>
      <c r="H54" s="2" t="s">
        <v>22</v>
      </c>
      <c r="I54" s="18">
        <v>0</v>
      </c>
    </row>
    <row r="55" spans="1:11">
      <c r="A55" s="209" t="s">
        <v>84</v>
      </c>
      <c r="B55" s="209"/>
      <c r="C55" s="209"/>
      <c r="D55" s="209"/>
      <c r="E55" s="209"/>
      <c r="F55" s="209"/>
      <c r="G55" s="209"/>
      <c r="H55" s="209"/>
      <c r="I55" s="15">
        <f>SUM(I49:I54)</f>
        <v>407.96559999999999</v>
      </c>
    </row>
    <row r="56" spans="1:11">
      <c r="A56" s="212"/>
      <c r="B56" s="212"/>
      <c r="C56" s="212"/>
      <c r="D56" s="212"/>
      <c r="E56" s="212"/>
      <c r="F56" s="212"/>
      <c r="G56" s="212"/>
      <c r="H56" s="212"/>
      <c r="I56" s="213"/>
    </row>
    <row r="57" spans="1:11">
      <c r="A57" s="219" t="s">
        <v>85</v>
      </c>
      <c r="B57" s="219"/>
      <c r="C57" s="219"/>
      <c r="D57" s="219"/>
      <c r="E57" s="219"/>
      <c r="F57" s="219"/>
      <c r="G57" s="219"/>
      <c r="H57" s="219"/>
      <c r="I57" s="219"/>
    </row>
    <row r="58" spans="1:11">
      <c r="A58" s="209" t="s">
        <v>86</v>
      </c>
      <c r="B58" s="209"/>
      <c r="C58" s="209"/>
      <c r="D58" s="209"/>
      <c r="E58" s="209"/>
      <c r="F58" s="209"/>
      <c r="G58" s="209"/>
      <c r="H58" s="209"/>
      <c r="I58" s="1" t="s">
        <v>49</v>
      </c>
    </row>
    <row r="59" spans="1:11">
      <c r="A59" s="1" t="s">
        <v>87</v>
      </c>
      <c r="B59" s="199" t="s">
        <v>88</v>
      </c>
      <c r="C59" s="199"/>
      <c r="D59" s="199"/>
      <c r="E59" s="199"/>
      <c r="F59" s="199"/>
      <c r="G59" s="199"/>
      <c r="H59" s="199"/>
      <c r="I59" s="19">
        <f>I35</f>
        <v>318.42</v>
      </c>
    </row>
    <row r="60" spans="1:11">
      <c r="A60" s="1" t="s">
        <v>89</v>
      </c>
      <c r="B60" s="199" t="s">
        <v>90</v>
      </c>
      <c r="C60" s="199"/>
      <c r="D60" s="199"/>
      <c r="E60" s="199"/>
      <c r="F60" s="199"/>
      <c r="G60" s="199"/>
      <c r="H60" s="199"/>
      <c r="I60" s="19">
        <f>I46</f>
        <v>662.6</v>
      </c>
    </row>
    <row r="61" spans="1:11">
      <c r="A61" s="1" t="s">
        <v>91</v>
      </c>
      <c r="B61" s="199" t="s">
        <v>92</v>
      </c>
      <c r="C61" s="199"/>
      <c r="D61" s="199"/>
      <c r="E61" s="199"/>
      <c r="F61" s="199"/>
      <c r="G61" s="199"/>
      <c r="H61" s="199"/>
      <c r="I61" s="19">
        <f>I55</f>
        <v>407.96559999999999</v>
      </c>
    </row>
    <row r="62" spans="1:11">
      <c r="A62" s="209" t="s">
        <v>93</v>
      </c>
      <c r="B62" s="209"/>
      <c r="C62" s="209"/>
      <c r="D62" s="209"/>
      <c r="E62" s="209"/>
      <c r="F62" s="209"/>
      <c r="G62" s="209"/>
      <c r="H62" s="209"/>
      <c r="I62" s="15">
        <f>TRUNC(SUM(I59:I61),2)</f>
        <v>1388.98</v>
      </c>
    </row>
    <row r="63" spans="1:11">
      <c r="A63" s="220"/>
      <c r="B63" s="221"/>
      <c r="C63" s="221"/>
      <c r="D63" s="221"/>
      <c r="E63" s="221"/>
      <c r="F63" s="221"/>
      <c r="G63" s="221"/>
      <c r="H63" s="221"/>
      <c r="I63" s="221"/>
    </row>
    <row r="64" spans="1:11">
      <c r="A64" s="208" t="s">
        <v>94</v>
      </c>
      <c r="B64" s="208"/>
      <c r="C64" s="208"/>
      <c r="D64" s="208"/>
      <c r="E64" s="208"/>
      <c r="F64" s="208"/>
      <c r="G64" s="208"/>
      <c r="H64" s="208"/>
      <c r="I64" s="208"/>
    </row>
    <row r="65" spans="1:11">
      <c r="A65" s="1">
        <v>3</v>
      </c>
      <c r="B65" s="209" t="s">
        <v>95</v>
      </c>
      <c r="C65" s="209"/>
      <c r="D65" s="209"/>
      <c r="E65" s="209"/>
      <c r="F65" s="209"/>
      <c r="G65" s="209"/>
      <c r="H65" s="1" t="s">
        <v>48</v>
      </c>
      <c r="I65" s="1" t="s">
        <v>49</v>
      </c>
    </row>
    <row r="66" spans="1:11">
      <c r="A66" s="1" t="s">
        <v>20</v>
      </c>
      <c r="B66" s="201" t="s">
        <v>96</v>
      </c>
      <c r="C66" s="201"/>
      <c r="D66" s="201"/>
      <c r="E66" s="201"/>
      <c r="F66" s="201"/>
      <c r="G66" s="201"/>
      <c r="H66" s="20">
        <v>4.1999999999999997E-3</v>
      </c>
      <c r="I66" s="19">
        <f>H66*$I$23</f>
        <v>6.5462879999999997</v>
      </c>
    </row>
    <row r="67" spans="1:11">
      <c r="A67" s="1" t="s">
        <v>23</v>
      </c>
      <c r="B67" s="201" t="s">
        <v>97</v>
      </c>
      <c r="C67" s="201"/>
      <c r="D67" s="201"/>
      <c r="E67" s="201"/>
      <c r="F67" s="201"/>
      <c r="G67" s="201"/>
      <c r="H67" s="20">
        <v>3.3599999999999998E-4</v>
      </c>
      <c r="I67" s="19">
        <f t="shared" ref="I67:I71" si="1">H67*$I$23</f>
        <v>0.52370304000000001</v>
      </c>
      <c r="K67" s="48"/>
    </row>
    <row r="68" spans="1:11">
      <c r="A68" s="1" t="s">
        <v>26</v>
      </c>
      <c r="B68" s="201" t="s">
        <v>98</v>
      </c>
      <c r="C68" s="201"/>
      <c r="D68" s="201"/>
      <c r="E68" s="201"/>
      <c r="F68" s="201"/>
      <c r="G68" s="201"/>
      <c r="H68" s="20">
        <v>3.4700000000000002E-2</v>
      </c>
      <c r="I68" s="19">
        <f t="shared" si="1"/>
        <v>54.08480800000001</v>
      </c>
    </row>
    <row r="69" spans="1:11">
      <c r="A69" s="1" t="s">
        <v>29</v>
      </c>
      <c r="B69" s="201" t="s">
        <v>99</v>
      </c>
      <c r="C69" s="201"/>
      <c r="D69" s="201"/>
      <c r="E69" s="201"/>
      <c r="F69" s="201"/>
      <c r="G69" s="201"/>
      <c r="H69" s="20">
        <v>1.9400000000000001E-2</v>
      </c>
      <c r="I69" s="19">
        <f t="shared" si="1"/>
        <v>30.237616000000003</v>
      </c>
    </row>
    <row r="70" spans="1:11">
      <c r="A70" s="1" t="s">
        <v>54</v>
      </c>
      <c r="B70" s="222" t="s">
        <v>100</v>
      </c>
      <c r="C70" s="222"/>
      <c r="D70" s="222"/>
      <c r="E70" s="222"/>
      <c r="F70" s="222"/>
      <c r="G70" s="222"/>
      <c r="H70" s="51">
        <f>H46*H69</f>
        <v>6.8482000000000013E-3</v>
      </c>
      <c r="I70" s="19">
        <f t="shared" si="1"/>
        <v>10.673878448000004</v>
      </c>
    </row>
    <row r="71" spans="1:11">
      <c r="A71" s="1" t="s">
        <v>56</v>
      </c>
      <c r="B71" s="201" t="s">
        <v>101</v>
      </c>
      <c r="C71" s="201"/>
      <c r="D71" s="201"/>
      <c r="E71" s="201"/>
      <c r="F71" s="201"/>
      <c r="G71" s="201"/>
      <c r="H71" s="20">
        <v>5.3E-3</v>
      </c>
      <c r="I71" s="19">
        <f t="shared" si="1"/>
        <v>8.2607920000000004</v>
      </c>
    </row>
    <row r="72" spans="1:11">
      <c r="A72" s="209" t="s">
        <v>102</v>
      </c>
      <c r="B72" s="209"/>
      <c r="C72" s="209"/>
      <c r="D72" s="209"/>
      <c r="E72" s="209"/>
      <c r="F72" s="209"/>
      <c r="G72" s="209"/>
      <c r="H72" s="13">
        <f>TRUNC(SUM(H66:H71),4)</f>
        <v>7.0699999999999999E-2</v>
      </c>
      <c r="I72" s="15">
        <f>TRUNC(SUM(I66:I71),2)</f>
        <v>110.32</v>
      </c>
    </row>
    <row r="73" spans="1:11">
      <c r="A73" s="223"/>
      <c r="B73" s="224"/>
      <c r="C73" s="224"/>
      <c r="D73" s="224"/>
      <c r="E73" s="224"/>
      <c r="F73" s="224"/>
      <c r="G73" s="224"/>
      <c r="H73" s="224"/>
      <c r="I73" s="224"/>
    </row>
    <row r="74" spans="1:11">
      <c r="A74" s="208" t="s">
        <v>103</v>
      </c>
      <c r="B74" s="208"/>
      <c r="C74" s="208"/>
      <c r="D74" s="208"/>
      <c r="E74" s="208"/>
      <c r="F74" s="208"/>
      <c r="G74" s="208"/>
      <c r="H74" s="208"/>
      <c r="I74" s="208"/>
      <c r="J74" s="17" t="s">
        <v>104</v>
      </c>
      <c r="K74" s="33">
        <f>I29+I62+I72</f>
        <v>3057.94</v>
      </c>
    </row>
    <row r="75" spans="1:11">
      <c r="A75" s="209" t="s">
        <v>105</v>
      </c>
      <c r="B75" s="209"/>
      <c r="C75" s="209"/>
      <c r="D75" s="209"/>
      <c r="E75" s="209"/>
      <c r="F75" s="209"/>
      <c r="G75" s="209"/>
      <c r="H75" s="1" t="s">
        <v>48</v>
      </c>
      <c r="I75" s="1" t="s">
        <v>49</v>
      </c>
    </row>
    <row r="76" spans="1:11">
      <c r="A76" s="1" t="s">
        <v>20</v>
      </c>
      <c r="B76" s="201" t="s">
        <v>106</v>
      </c>
      <c r="C76" s="201"/>
      <c r="D76" s="201"/>
      <c r="E76" s="201"/>
      <c r="F76" s="201"/>
      <c r="G76" s="201"/>
      <c r="H76" s="20">
        <v>1.6199999999999999E-2</v>
      </c>
      <c r="I76" s="19">
        <f>H76*$I$29</f>
        <v>25.249967999999999</v>
      </c>
    </row>
    <row r="77" spans="1:11">
      <c r="A77" s="1" t="s">
        <v>23</v>
      </c>
      <c r="B77" s="201" t="s">
        <v>107</v>
      </c>
      <c r="C77" s="201"/>
      <c r="D77" s="201"/>
      <c r="E77" s="201"/>
      <c r="F77" s="201"/>
      <c r="G77" s="201"/>
      <c r="H77" s="20">
        <v>8.2000000000000007E-3</v>
      </c>
      <c r="I77" s="19">
        <f t="shared" ref="I77:I81" si="2">H77*$I$29</f>
        <v>12.780848000000002</v>
      </c>
    </row>
    <row r="78" spans="1:11">
      <c r="A78" s="1" t="s">
        <v>26</v>
      </c>
      <c r="B78" s="201" t="s">
        <v>108</v>
      </c>
      <c r="C78" s="201"/>
      <c r="D78" s="201"/>
      <c r="E78" s="201"/>
      <c r="F78" s="201"/>
      <c r="G78" s="201"/>
      <c r="H78" s="20">
        <v>2.0000000000000001E-4</v>
      </c>
      <c r="I78" s="19">
        <f t="shared" si="2"/>
        <v>0.31172800000000006</v>
      </c>
    </row>
    <row r="79" spans="1:11">
      <c r="A79" s="1" t="s">
        <v>29</v>
      </c>
      <c r="B79" s="201" t="s">
        <v>109</v>
      </c>
      <c r="C79" s="201"/>
      <c r="D79" s="201"/>
      <c r="E79" s="201"/>
      <c r="F79" s="201"/>
      <c r="G79" s="201"/>
      <c r="H79" s="20">
        <v>2.9999999999999997E-4</v>
      </c>
      <c r="I79" s="19">
        <f t="shared" si="2"/>
        <v>0.46759200000000001</v>
      </c>
    </row>
    <row r="80" spans="1:11">
      <c r="A80" s="1" t="s">
        <v>54</v>
      </c>
      <c r="B80" s="201" t="s">
        <v>110</v>
      </c>
      <c r="C80" s="201"/>
      <c r="D80" s="201"/>
      <c r="E80" s="201"/>
      <c r="F80" s="201"/>
      <c r="G80" s="201"/>
      <c r="H80" s="20">
        <v>6.9999999999999999E-4</v>
      </c>
      <c r="I80" s="19">
        <f t="shared" si="2"/>
        <v>1.091048</v>
      </c>
      <c r="K80" s="41"/>
    </row>
    <row r="81" spans="1:11">
      <c r="A81" s="1" t="s">
        <v>56</v>
      </c>
      <c r="B81" s="201" t="s">
        <v>111</v>
      </c>
      <c r="C81" s="201"/>
      <c r="D81" s="201"/>
      <c r="E81" s="201"/>
      <c r="F81" s="201"/>
      <c r="G81" s="201"/>
      <c r="H81" s="20">
        <v>0</v>
      </c>
      <c r="I81" s="19">
        <f t="shared" si="2"/>
        <v>0</v>
      </c>
      <c r="K81" s="42"/>
    </row>
    <row r="82" spans="1:11">
      <c r="A82" s="209" t="s">
        <v>112</v>
      </c>
      <c r="B82" s="209"/>
      <c r="C82" s="209"/>
      <c r="D82" s="209"/>
      <c r="E82" s="209"/>
      <c r="F82" s="209"/>
      <c r="G82" s="209"/>
      <c r="H82" s="13">
        <f>TRUNC(SUM(H76:H81),4)</f>
        <v>2.5600000000000001E-2</v>
      </c>
      <c r="I82" s="15">
        <f>TRUNC(SUM(I76:I81),2)</f>
        <v>39.9</v>
      </c>
      <c r="K82" s="42"/>
    </row>
    <row r="83" spans="1:11">
      <c r="A83" s="225"/>
      <c r="B83" s="226"/>
      <c r="C83" s="226"/>
      <c r="D83" s="226"/>
      <c r="E83" s="226"/>
      <c r="F83" s="226"/>
      <c r="G83" s="226"/>
      <c r="H83" s="226"/>
      <c r="I83" s="226"/>
    </row>
    <row r="84" spans="1:11">
      <c r="A84" s="209" t="s">
        <v>113</v>
      </c>
      <c r="B84" s="209"/>
      <c r="C84" s="209"/>
      <c r="D84" s="209"/>
      <c r="E84" s="209"/>
      <c r="F84" s="209"/>
      <c r="G84" s="209"/>
      <c r="H84" s="1" t="s">
        <v>48</v>
      </c>
      <c r="I84" s="1" t="s">
        <v>49</v>
      </c>
    </row>
    <row r="85" spans="1:11">
      <c r="A85" s="1" t="s">
        <v>20</v>
      </c>
      <c r="B85" s="201" t="s">
        <v>114</v>
      </c>
      <c r="C85" s="201"/>
      <c r="D85" s="201"/>
      <c r="E85" s="201"/>
      <c r="F85" s="201"/>
      <c r="G85" s="201"/>
      <c r="H85" s="20">
        <v>0</v>
      </c>
      <c r="I85" s="19">
        <v>0</v>
      </c>
    </row>
    <row r="86" spans="1:11">
      <c r="A86" s="209" t="s">
        <v>115</v>
      </c>
      <c r="B86" s="209"/>
      <c r="C86" s="209"/>
      <c r="D86" s="209"/>
      <c r="E86" s="209"/>
      <c r="F86" s="209"/>
      <c r="G86" s="209"/>
      <c r="H86" s="13">
        <f>TRUNC(SUM(H85),4)</f>
        <v>0</v>
      </c>
      <c r="I86" s="15">
        <f>TRUNC(SUM(I85),2)</f>
        <v>0</v>
      </c>
    </row>
    <row r="87" spans="1:11">
      <c r="A87" s="227"/>
      <c r="B87" s="228"/>
      <c r="C87" s="228"/>
      <c r="D87" s="228"/>
      <c r="E87" s="228"/>
      <c r="F87" s="228"/>
      <c r="G87" s="228"/>
      <c r="H87" s="228"/>
      <c r="I87" s="228"/>
    </row>
    <row r="88" spans="1:11">
      <c r="A88" s="219" t="s">
        <v>116</v>
      </c>
      <c r="B88" s="219"/>
      <c r="C88" s="219"/>
      <c r="D88" s="219"/>
      <c r="E88" s="219"/>
      <c r="F88" s="219"/>
      <c r="G88" s="219"/>
      <c r="H88" s="219"/>
      <c r="I88" s="219"/>
    </row>
    <row r="89" spans="1:11">
      <c r="A89" s="209" t="s">
        <v>117</v>
      </c>
      <c r="B89" s="209"/>
      <c r="C89" s="209"/>
      <c r="D89" s="209"/>
      <c r="E89" s="209"/>
      <c r="F89" s="209"/>
      <c r="G89" s="209"/>
      <c r="H89" s="209"/>
      <c r="I89" s="1" t="s">
        <v>49</v>
      </c>
    </row>
    <row r="90" spans="1:11">
      <c r="A90" s="1" t="s">
        <v>118</v>
      </c>
      <c r="B90" s="199" t="s">
        <v>119</v>
      </c>
      <c r="C90" s="199"/>
      <c r="D90" s="199"/>
      <c r="E90" s="199"/>
      <c r="F90" s="199"/>
      <c r="G90" s="199"/>
      <c r="H90" s="199"/>
      <c r="I90" s="19">
        <f>I82</f>
        <v>39.9</v>
      </c>
    </row>
    <row r="91" spans="1:11">
      <c r="A91" s="1" t="s">
        <v>120</v>
      </c>
      <c r="B91" s="199" t="s">
        <v>121</v>
      </c>
      <c r="C91" s="199"/>
      <c r="D91" s="199"/>
      <c r="E91" s="199"/>
      <c r="F91" s="199"/>
      <c r="G91" s="199"/>
      <c r="H91" s="199"/>
      <c r="I91" s="19">
        <f>I86</f>
        <v>0</v>
      </c>
    </row>
    <row r="92" spans="1:11">
      <c r="A92" s="209" t="s">
        <v>122</v>
      </c>
      <c r="B92" s="209"/>
      <c r="C92" s="209"/>
      <c r="D92" s="209"/>
      <c r="E92" s="209"/>
      <c r="F92" s="209"/>
      <c r="G92" s="209"/>
      <c r="H92" s="209"/>
      <c r="I92" s="15">
        <f>TRUNC(SUM(I90:I91),2)</f>
        <v>39.9</v>
      </c>
    </row>
    <row r="93" spans="1:11">
      <c r="A93" s="220"/>
      <c r="B93" s="221"/>
      <c r="C93" s="221"/>
      <c r="D93" s="221"/>
      <c r="E93" s="221"/>
      <c r="F93" s="221"/>
      <c r="G93" s="221"/>
      <c r="H93" s="221"/>
      <c r="I93" s="221"/>
    </row>
    <row r="94" spans="1:11">
      <c r="A94" s="208" t="s">
        <v>123</v>
      </c>
      <c r="B94" s="208"/>
      <c r="C94" s="208"/>
      <c r="D94" s="208"/>
      <c r="E94" s="208"/>
      <c r="F94" s="208"/>
      <c r="G94" s="208"/>
      <c r="H94" s="208"/>
      <c r="I94" s="208"/>
    </row>
    <row r="95" spans="1:11">
      <c r="A95" s="1">
        <v>5</v>
      </c>
      <c r="B95" s="209" t="s">
        <v>124</v>
      </c>
      <c r="C95" s="209"/>
      <c r="D95" s="209"/>
      <c r="E95" s="209"/>
      <c r="F95" s="209"/>
      <c r="G95" s="209"/>
      <c r="H95" s="1"/>
      <c r="I95" s="1" t="s">
        <v>49</v>
      </c>
    </row>
    <row r="96" spans="1:11">
      <c r="A96" s="1" t="s">
        <v>20</v>
      </c>
      <c r="B96" s="214" t="s">
        <v>125</v>
      </c>
      <c r="C96" s="215"/>
      <c r="D96" s="215"/>
      <c r="E96" s="215"/>
      <c r="F96" s="215"/>
      <c r="G96" s="215"/>
      <c r="H96" s="2" t="s">
        <v>22</v>
      </c>
      <c r="I96" s="19">
        <v>26.94</v>
      </c>
    </row>
    <row r="97" spans="1:9">
      <c r="A97" s="1" t="s">
        <v>23</v>
      </c>
      <c r="B97" s="215" t="s">
        <v>183</v>
      </c>
      <c r="C97" s="215"/>
      <c r="D97" s="215"/>
      <c r="E97" s="215"/>
      <c r="F97" s="215"/>
      <c r="G97" s="215"/>
      <c r="H97" s="2" t="s">
        <v>22</v>
      </c>
      <c r="I97" s="19">
        <v>0</v>
      </c>
    </row>
    <row r="98" spans="1:9">
      <c r="A98" s="14" t="s">
        <v>26</v>
      </c>
      <c r="B98" s="215" t="s">
        <v>127</v>
      </c>
      <c r="C98" s="215"/>
      <c r="D98" s="215"/>
      <c r="E98" s="215"/>
      <c r="F98" s="215"/>
      <c r="G98" s="215"/>
      <c r="H98" s="2" t="s">
        <v>22</v>
      </c>
      <c r="I98" s="19">
        <v>0</v>
      </c>
    </row>
    <row r="99" spans="1:9">
      <c r="A99" s="14" t="s">
        <v>29</v>
      </c>
      <c r="B99" s="215" t="s">
        <v>184</v>
      </c>
      <c r="C99" s="215"/>
      <c r="D99" s="215"/>
      <c r="E99" s="215"/>
      <c r="F99" s="215"/>
      <c r="G99" s="215"/>
      <c r="H99" s="2" t="s">
        <v>22</v>
      </c>
      <c r="I99" s="19">
        <v>10.37</v>
      </c>
    </row>
    <row r="100" spans="1:9">
      <c r="A100" s="209" t="s">
        <v>129</v>
      </c>
      <c r="B100" s="209"/>
      <c r="C100" s="209"/>
      <c r="D100" s="209"/>
      <c r="E100" s="209"/>
      <c r="F100" s="209"/>
      <c r="G100" s="209"/>
      <c r="H100" s="13" t="s">
        <v>22</v>
      </c>
      <c r="I100" s="15">
        <f>TRUNC(SUM(I96:I99),2)</f>
        <v>37.31</v>
      </c>
    </row>
    <row r="101" spans="1:9">
      <c r="A101" s="220"/>
      <c r="B101" s="221"/>
      <c r="C101" s="221"/>
      <c r="D101" s="221"/>
      <c r="E101" s="221"/>
      <c r="F101" s="221"/>
      <c r="G101" s="221"/>
      <c r="H101" s="221"/>
      <c r="I101" s="221"/>
    </row>
    <row r="102" spans="1:9">
      <c r="A102" s="208" t="s">
        <v>130</v>
      </c>
      <c r="B102" s="208"/>
      <c r="C102" s="208"/>
      <c r="D102" s="208"/>
      <c r="E102" s="208"/>
      <c r="F102" s="208"/>
      <c r="G102" s="208"/>
      <c r="H102" s="208"/>
      <c r="I102" s="208"/>
    </row>
    <row r="103" spans="1:9">
      <c r="A103" s="1">
        <v>6</v>
      </c>
      <c r="B103" s="209" t="s">
        <v>131</v>
      </c>
      <c r="C103" s="209"/>
      <c r="D103" s="209"/>
      <c r="E103" s="209"/>
      <c r="F103" s="209"/>
      <c r="G103" s="209"/>
      <c r="H103" s="1" t="s">
        <v>48</v>
      </c>
      <c r="I103" s="1" t="s">
        <v>49</v>
      </c>
    </row>
    <row r="104" spans="1:9">
      <c r="A104" s="1" t="s">
        <v>20</v>
      </c>
      <c r="B104" s="201" t="s">
        <v>132</v>
      </c>
      <c r="C104" s="201"/>
      <c r="D104" s="201"/>
      <c r="E104" s="201"/>
      <c r="F104" s="201"/>
      <c r="G104" s="201"/>
      <c r="H104" s="37">
        <v>1.2E-2</v>
      </c>
      <c r="I104" s="19">
        <f>TRUNC(H104*I128,2)</f>
        <v>37.619999999999997</v>
      </c>
    </row>
    <row r="105" spans="1:9">
      <c r="A105" s="1" t="s">
        <v>23</v>
      </c>
      <c r="B105" s="201" t="s">
        <v>133</v>
      </c>
      <c r="C105" s="201"/>
      <c r="D105" s="201"/>
      <c r="E105" s="201"/>
      <c r="F105" s="201"/>
      <c r="G105" s="201"/>
      <c r="H105" s="37">
        <v>1.15E-2</v>
      </c>
      <c r="I105" s="19">
        <f>TRUNC(H105*(I104+I128),2)</f>
        <v>36.479999999999997</v>
      </c>
    </row>
    <row r="106" spans="1:9">
      <c r="A106" s="1" t="s">
        <v>26</v>
      </c>
      <c r="B106" s="229" t="s">
        <v>134</v>
      </c>
      <c r="C106" s="229"/>
      <c r="D106" s="229"/>
      <c r="E106" s="229"/>
      <c r="F106" s="229"/>
      <c r="G106" s="229"/>
      <c r="H106" s="34"/>
      <c r="I106" s="29"/>
    </row>
    <row r="107" spans="1:9">
      <c r="A107" s="1" t="s">
        <v>135</v>
      </c>
      <c r="B107" s="201" t="s">
        <v>136</v>
      </c>
      <c r="C107" s="201"/>
      <c r="D107" s="201"/>
      <c r="E107" s="201"/>
      <c r="F107" s="201"/>
      <c r="G107" s="201"/>
      <c r="H107" s="38">
        <v>6.4999999999999997E-3</v>
      </c>
      <c r="I107" s="19">
        <f>H107*I117</f>
        <v>22.835345</v>
      </c>
    </row>
    <row r="108" spans="1:9">
      <c r="A108" s="1" t="s">
        <v>137</v>
      </c>
      <c r="B108" s="201" t="s">
        <v>138</v>
      </c>
      <c r="C108" s="201"/>
      <c r="D108" s="201"/>
      <c r="E108" s="201"/>
      <c r="F108" s="201"/>
      <c r="G108" s="201"/>
      <c r="H108" s="39">
        <v>0.03</v>
      </c>
      <c r="I108" s="19">
        <f>H108*I117</f>
        <v>105.3939</v>
      </c>
    </row>
    <row r="109" spans="1:9">
      <c r="A109" s="1" t="s">
        <v>139</v>
      </c>
      <c r="B109" s="201" t="s">
        <v>140</v>
      </c>
      <c r="C109" s="201"/>
      <c r="D109" s="201"/>
      <c r="E109" s="201"/>
      <c r="F109" s="201"/>
      <c r="G109" s="201"/>
      <c r="H109" s="40">
        <v>0.05</v>
      </c>
      <c r="I109" s="19">
        <f>H109*I117</f>
        <v>175.65650000000002</v>
      </c>
    </row>
    <row r="110" spans="1:9">
      <c r="A110" s="209" t="s">
        <v>141</v>
      </c>
      <c r="B110" s="209"/>
      <c r="C110" s="209"/>
      <c r="D110" s="209"/>
      <c r="E110" s="209"/>
      <c r="F110" s="209"/>
      <c r="G110" s="209"/>
      <c r="H110" s="38"/>
      <c r="I110" s="15">
        <f>TRUNC(SUM(I104:I109),2)</f>
        <v>377.98</v>
      </c>
    </row>
    <row r="111" spans="1:9">
      <c r="A111" s="10"/>
      <c r="B111" s="230"/>
      <c r="C111" s="230"/>
      <c r="D111" s="230"/>
      <c r="E111" s="230"/>
      <c r="F111" s="230"/>
      <c r="G111" s="230"/>
      <c r="H111" s="230"/>
      <c r="I111" s="230"/>
    </row>
    <row r="112" spans="1:9">
      <c r="A112" s="21" t="s">
        <v>142</v>
      </c>
      <c r="B112" s="231" t="s">
        <v>143</v>
      </c>
      <c r="C112" s="231"/>
      <c r="D112" s="231"/>
      <c r="E112" s="231"/>
      <c r="F112" s="231"/>
      <c r="G112" s="231"/>
      <c r="H112" s="22">
        <f>TRUNC(H107+H108+H109,4)</f>
        <v>8.6499999999999994E-2</v>
      </c>
      <c r="I112" s="30"/>
    </row>
    <row r="113" spans="1:11">
      <c r="A113" s="23"/>
      <c r="B113" s="232">
        <v>100</v>
      </c>
      <c r="C113" s="232"/>
      <c r="D113" s="232"/>
      <c r="E113" s="232"/>
      <c r="F113" s="232"/>
      <c r="G113" s="232"/>
      <c r="H113" s="25"/>
      <c r="I113" s="31"/>
    </row>
    <row r="114" spans="1:11">
      <c r="A114" s="26"/>
      <c r="B114" s="24"/>
      <c r="C114" s="24"/>
      <c r="D114" s="24"/>
      <c r="E114" s="24"/>
      <c r="F114" s="24"/>
      <c r="G114" s="24"/>
      <c r="H114" s="25"/>
      <c r="I114" s="31"/>
    </row>
    <row r="115" spans="1:11">
      <c r="A115" s="23" t="s">
        <v>144</v>
      </c>
      <c r="B115" s="232" t="s">
        <v>145</v>
      </c>
      <c r="C115" s="232"/>
      <c r="D115" s="232"/>
      <c r="E115" s="232"/>
      <c r="F115" s="232"/>
      <c r="G115" s="232"/>
      <c r="H115" s="25"/>
      <c r="I115" s="31">
        <f>TRUNC(I128+I104+I105,2)</f>
        <v>3209.25</v>
      </c>
    </row>
    <row r="116" spans="1:11">
      <c r="A116" s="23"/>
      <c r="B116" s="24"/>
      <c r="C116" s="24"/>
      <c r="D116" s="24"/>
      <c r="E116" s="24"/>
      <c r="F116" s="24"/>
      <c r="G116" s="24"/>
      <c r="H116" s="25"/>
      <c r="I116" s="31"/>
    </row>
    <row r="117" spans="1:11">
      <c r="A117" s="23" t="s">
        <v>146</v>
      </c>
      <c r="B117" s="232" t="s">
        <v>147</v>
      </c>
      <c r="C117" s="232"/>
      <c r="D117" s="232"/>
      <c r="E117" s="232"/>
      <c r="F117" s="232"/>
      <c r="G117" s="232"/>
      <c r="H117" s="25"/>
      <c r="I117" s="31">
        <f>TRUNC(I115/(1-H112),2)</f>
        <v>3513.13</v>
      </c>
    </row>
    <row r="118" spans="1:11">
      <c r="A118" s="23"/>
      <c r="B118" s="24"/>
      <c r="C118" s="24"/>
      <c r="D118" s="24"/>
      <c r="E118" s="24"/>
      <c r="F118" s="24"/>
      <c r="G118" s="24"/>
      <c r="H118" s="25"/>
      <c r="I118" s="31"/>
    </row>
    <row r="119" spans="1:11">
      <c r="A119" s="27"/>
      <c r="B119" s="233" t="s">
        <v>148</v>
      </c>
      <c r="C119" s="233"/>
      <c r="D119" s="233"/>
      <c r="E119" s="233"/>
      <c r="F119" s="233"/>
      <c r="G119" s="233"/>
      <c r="H119" s="28"/>
      <c r="I119" s="32">
        <f>TRUNC(I117-I115,2)</f>
        <v>303.88</v>
      </c>
      <c r="K119" s="41"/>
    </row>
    <row r="120" spans="1:11">
      <c r="A120" s="10"/>
      <c r="B120" s="10"/>
      <c r="C120" s="10"/>
      <c r="D120" s="10"/>
      <c r="E120" s="10"/>
      <c r="F120" s="10"/>
      <c r="G120" s="10"/>
      <c r="H120" s="10"/>
      <c r="I120" s="16"/>
    </row>
    <row r="121" spans="1:11">
      <c r="A121" s="219" t="s">
        <v>149</v>
      </c>
      <c r="B121" s="219"/>
      <c r="C121" s="219"/>
      <c r="D121" s="219"/>
      <c r="E121" s="219"/>
      <c r="F121" s="219"/>
      <c r="G121" s="219"/>
      <c r="H121" s="219"/>
      <c r="I121" s="219"/>
      <c r="K121" s="33"/>
    </row>
    <row r="122" spans="1:11">
      <c r="A122" s="209" t="s">
        <v>150</v>
      </c>
      <c r="B122" s="209"/>
      <c r="C122" s="209"/>
      <c r="D122" s="209"/>
      <c r="E122" s="209"/>
      <c r="F122" s="209"/>
      <c r="G122" s="209"/>
      <c r="H122" s="209"/>
      <c r="I122" s="1" t="s">
        <v>49</v>
      </c>
    </row>
    <row r="123" spans="1:11">
      <c r="A123" s="2" t="s">
        <v>20</v>
      </c>
      <c r="B123" s="201" t="str">
        <f>A21</f>
        <v>MÓDULO 1 - COMPOSIÇÃO DA REMUNERAÇÃO</v>
      </c>
      <c r="C123" s="201"/>
      <c r="D123" s="201"/>
      <c r="E123" s="201"/>
      <c r="F123" s="201"/>
      <c r="G123" s="201"/>
      <c r="H123" s="201"/>
      <c r="I123" s="19">
        <f>I29</f>
        <v>1558.64</v>
      </c>
    </row>
    <row r="124" spans="1:11">
      <c r="A124" s="2" t="s">
        <v>23</v>
      </c>
      <c r="B124" s="201" t="str">
        <f>A31</f>
        <v>MÓDULO 2 – ENCARGOS E BENEFÍCIOS ANUAIS, MENSAIS E DIÁRIOS</v>
      </c>
      <c r="C124" s="201"/>
      <c r="D124" s="201"/>
      <c r="E124" s="201"/>
      <c r="F124" s="201"/>
      <c r="G124" s="201"/>
      <c r="H124" s="201"/>
      <c r="I124" s="19">
        <f>I62</f>
        <v>1388.98</v>
      </c>
    </row>
    <row r="125" spans="1:11">
      <c r="A125" s="2" t="s">
        <v>26</v>
      </c>
      <c r="B125" s="201" t="str">
        <f>A64</f>
        <v>MÓDULO 3 – PROVISÃO PARA RESCISÃO</v>
      </c>
      <c r="C125" s="201"/>
      <c r="D125" s="201"/>
      <c r="E125" s="201"/>
      <c r="F125" s="201"/>
      <c r="G125" s="201"/>
      <c r="H125" s="201"/>
      <c r="I125" s="19">
        <f>I72</f>
        <v>110.32</v>
      </c>
      <c r="K125" s="33"/>
    </row>
    <row r="126" spans="1:11">
      <c r="A126" s="2" t="s">
        <v>29</v>
      </c>
      <c r="B126" s="201" t="str">
        <f>A74</f>
        <v>MÓDULO 4 – CUSTO DE REPOSIÇÃO DO PROFISSIONAL AUSENTE</v>
      </c>
      <c r="C126" s="201"/>
      <c r="D126" s="201"/>
      <c r="E126" s="201"/>
      <c r="F126" s="201"/>
      <c r="G126" s="201"/>
      <c r="H126" s="201"/>
      <c r="I126" s="19">
        <f>I92</f>
        <v>39.9</v>
      </c>
      <c r="K126" s="33"/>
    </row>
    <row r="127" spans="1:11">
      <c r="A127" s="2" t="s">
        <v>54</v>
      </c>
      <c r="B127" s="201" t="str">
        <f>A94</f>
        <v>MÓDULO 5 – INSUMOS DIVERSOS</v>
      </c>
      <c r="C127" s="201"/>
      <c r="D127" s="201"/>
      <c r="E127" s="201"/>
      <c r="F127" s="201"/>
      <c r="G127" s="201"/>
      <c r="H127" s="201"/>
      <c r="I127" s="19">
        <f>I100</f>
        <v>37.31</v>
      </c>
    </row>
    <row r="128" spans="1:11">
      <c r="A128" s="1"/>
      <c r="B128" s="209" t="s">
        <v>151</v>
      </c>
      <c r="C128" s="209"/>
      <c r="D128" s="209"/>
      <c r="E128" s="209"/>
      <c r="F128" s="209"/>
      <c r="G128" s="209"/>
      <c r="H128" s="209"/>
      <c r="I128" s="15">
        <f>TRUNC(SUM(I123:I127),2)</f>
        <v>3135.15</v>
      </c>
      <c r="K128" s="41"/>
    </row>
    <row r="129" spans="1:9">
      <c r="A129" s="2" t="s">
        <v>56</v>
      </c>
      <c r="B129" s="201" t="str">
        <f>A102</f>
        <v>MÓDULO 6 – CUSTOS INDIRETOS, TRIBUTOS E LUCRO</v>
      </c>
      <c r="C129" s="201"/>
      <c r="D129" s="201"/>
      <c r="E129" s="201"/>
      <c r="F129" s="201"/>
      <c r="G129" s="201"/>
      <c r="H129" s="201"/>
      <c r="I129" s="19">
        <f>I110</f>
        <v>377.98</v>
      </c>
    </row>
    <row r="130" spans="1:9">
      <c r="A130" s="209" t="s">
        <v>185</v>
      </c>
      <c r="B130" s="209"/>
      <c r="C130" s="209"/>
      <c r="D130" s="209"/>
      <c r="E130" s="209"/>
      <c r="F130" s="209"/>
      <c r="G130" s="209"/>
      <c r="H130" s="209"/>
      <c r="I130" s="15">
        <f>TRUNC(SUM(I128:I129),2)</f>
        <v>3513.13</v>
      </c>
    </row>
    <row r="131" spans="1:9">
      <c r="A131" s="209" t="s">
        <v>153</v>
      </c>
      <c r="B131" s="209"/>
      <c r="C131" s="209"/>
      <c r="D131" s="235">
        <v>2</v>
      </c>
      <c r="E131" s="236"/>
      <c r="F131" s="236"/>
      <c r="G131" s="236"/>
      <c r="H131" s="236"/>
      <c r="I131" s="237"/>
    </row>
    <row r="132" spans="1:9" hidden="1">
      <c r="A132" s="2"/>
      <c r="B132" s="199" t="s">
        <v>154</v>
      </c>
      <c r="C132" s="199"/>
      <c r="D132" s="199"/>
      <c r="E132" s="199"/>
      <c r="F132" s="199"/>
      <c r="G132" s="199"/>
      <c r="H132" s="1"/>
      <c r="I132" s="1"/>
    </row>
    <row r="133" spans="1:9" ht="40.5" hidden="1" customHeight="1">
      <c r="A133" s="234" t="s">
        <v>155</v>
      </c>
      <c r="B133" s="234"/>
      <c r="C133" s="234" t="s">
        <v>156</v>
      </c>
      <c r="D133" s="234"/>
      <c r="E133" s="234" t="s">
        <v>157</v>
      </c>
      <c r="F133" s="234"/>
      <c r="G133" s="43" t="s">
        <v>158</v>
      </c>
      <c r="H133" s="43" t="s">
        <v>159</v>
      </c>
      <c r="I133" s="1" t="s">
        <v>49</v>
      </c>
    </row>
    <row r="134" spans="1:9" hidden="1">
      <c r="A134" s="199" t="s">
        <v>160</v>
      </c>
      <c r="B134" s="199"/>
      <c r="C134" s="201" t="s">
        <v>161</v>
      </c>
      <c r="D134" s="201"/>
      <c r="E134" s="199"/>
      <c r="F134" s="199"/>
      <c r="G134" s="5" t="s">
        <v>161</v>
      </c>
      <c r="H134" s="5"/>
      <c r="I134" s="19">
        <v>0</v>
      </c>
    </row>
    <row r="135" spans="1:9" hidden="1">
      <c r="A135" s="199" t="s">
        <v>162</v>
      </c>
      <c r="B135" s="199"/>
      <c r="C135" s="201" t="s">
        <v>161</v>
      </c>
      <c r="D135" s="201"/>
      <c r="E135" s="199"/>
      <c r="F135" s="199"/>
      <c r="G135" s="5" t="s">
        <v>161</v>
      </c>
      <c r="H135" s="5"/>
      <c r="I135" s="19">
        <v>0</v>
      </c>
    </row>
    <row r="136" spans="1:9" hidden="1">
      <c r="A136" s="199" t="s">
        <v>163</v>
      </c>
      <c r="B136" s="199"/>
      <c r="C136" s="201" t="s">
        <v>161</v>
      </c>
      <c r="D136" s="201"/>
      <c r="E136" s="199"/>
      <c r="F136" s="199"/>
      <c r="G136" s="5" t="s">
        <v>161</v>
      </c>
      <c r="H136" s="5"/>
      <c r="I136" s="19">
        <v>0</v>
      </c>
    </row>
    <row r="137" spans="1:9" hidden="1">
      <c r="A137" s="199" t="s">
        <v>164</v>
      </c>
      <c r="B137" s="199"/>
      <c r="C137" s="201" t="s">
        <v>161</v>
      </c>
      <c r="D137" s="201"/>
      <c r="E137" s="199"/>
      <c r="F137" s="199"/>
      <c r="G137" s="5" t="s">
        <v>161</v>
      </c>
      <c r="H137" s="5"/>
      <c r="I137" s="19">
        <v>0</v>
      </c>
    </row>
    <row r="138" spans="1:9" hidden="1">
      <c r="A138" s="209"/>
      <c r="B138" s="209"/>
      <c r="C138" s="199"/>
      <c r="D138" s="199"/>
      <c r="E138" s="199"/>
      <c r="F138" s="199"/>
      <c r="G138" s="8"/>
      <c r="H138" s="8"/>
      <c r="I138" s="19"/>
    </row>
    <row r="139" spans="1:9" hidden="1">
      <c r="A139" s="209"/>
      <c r="B139" s="209"/>
      <c r="C139" s="199"/>
      <c r="D139" s="199"/>
      <c r="E139" s="199"/>
      <c r="F139" s="199"/>
      <c r="G139" s="5"/>
      <c r="H139" s="5"/>
      <c r="I139" s="19"/>
    </row>
    <row r="140" spans="1:9" hidden="1">
      <c r="A140" s="209" t="s">
        <v>165</v>
      </c>
      <c r="B140" s="209"/>
      <c r="C140" s="209"/>
      <c r="D140" s="209"/>
      <c r="E140" s="209"/>
      <c r="F140" s="209"/>
      <c r="G140" s="209"/>
      <c r="H140" s="209"/>
      <c r="I140" s="15">
        <f>SUM(I138:I139)</f>
        <v>0</v>
      </c>
    </row>
    <row r="141" spans="1:9" hidden="1">
      <c r="A141" s="5"/>
      <c r="B141" s="5"/>
      <c r="C141" s="5"/>
      <c r="D141" s="5"/>
      <c r="E141" s="5"/>
      <c r="F141" s="5"/>
      <c r="G141" s="5"/>
      <c r="H141" s="5"/>
      <c r="I141" s="5"/>
    </row>
    <row r="142" spans="1:9" hidden="1">
      <c r="A142" s="2" t="s">
        <v>166</v>
      </c>
      <c r="B142" s="199" t="s">
        <v>167</v>
      </c>
      <c r="C142" s="199"/>
      <c r="D142" s="199"/>
      <c r="E142" s="199"/>
      <c r="F142" s="199"/>
      <c r="G142" s="199"/>
      <c r="H142" s="1"/>
      <c r="I142" s="1"/>
    </row>
    <row r="143" spans="1:9" hidden="1">
      <c r="A143" s="209" t="s">
        <v>168</v>
      </c>
      <c r="B143" s="209"/>
      <c r="C143" s="209"/>
      <c r="D143" s="209"/>
      <c r="E143" s="209"/>
      <c r="F143" s="209"/>
      <c r="G143" s="209"/>
      <c r="H143" s="209"/>
      <c r="I143" s="209"/>
    </row>
    <row r="144" spans="1:9" hidden="1">
      <c r="A144" s="2"/>
      <c r="B144" s="229" t="s">
        <v>3</v>
      </c>
      <c r="C144" s="229"/>
      <c r="D144" s="229"/>
      <c r="E144" s="229"/>
      <c r="F144" s="229"/>
      <c r="G144" s="229"/>
      <c r="H144" s="229"/>
      <c r="I144" s="1" t="s">
        <v>49</v>
      </c>
    </row>
    <row r="145" spans="1:9" hidden="1">
      <c r="A145" s="2" t="s">
        <v>20</v>
      </c>
      <c r="B145" s="201" t="s">
        <v>169</v>
      </c>
      <c r="C145" s="201"/>
      <c r="D145" s="201"/>
      <c r="E145" s="201"/>
      <c r="F145" s="201"/>
      <c r="G145" s="201"/>
      <c r="H145" s="201"/>
      <c r="I145" s="19">
        <f>I107</f>
        <v>22.835345</v>
      </c>
    </row>
    <row r="146" spans="1:9" hidden="1">
      <c r="A146" s="2" t="s">
        <v>23</v>
      </c>
      <c r="B146" s="201" t="s">
        <v>170</v>
      </c>
      <c r="C146" s="201"/>
      <c r="D146" s="201"/>
      <c r="E146" s="201"/>
      <c r="F146" s="201"/>
      <c r="G146" s="201"/>
      <c r="H146" s="201"/>
      <c r="I146" s="19" t="e">
        <f>#REF!</f>
        <v>#REF!</v>
      </c>
    </row>
    <row r="147" spans="1:9" hidden="1">
      <c r="A147" s="2" t="s">
        <v>26</v>
      </c>
      <c r="B147" s="201" t="s">
        <v>171</v>
      </c>
      <c r="C147" s="201"/>
      <c r="D147" s="201"/>
      <c r="E147" s="201"/>
      <c r="F147" s="201"/>
      <c r="G147" s="201"/>
      <c r="H147" s="201"/>
      <c r="I147" s="19">
        <f>I110</f>
        <v>377.98</v>
      </c>
    </row>
    <row r="148" spans="1:9" hidden="1">
      <c r="A148" s="199" t="s">
        <v>172</v>
      </c>
      <c r="B148" s="199"/>
      <c r="C148" s="199"/>
      <c r="D148" s="199"/>
      <c r="E148" s="199"/>
      <c r="F148" s="199"/>
      <c r="G148" s="199"/>
      <c r="H148" s="199"/>
      <c r="I148" s="15" t="e">
        <f>SUM(I145:I147)</f>
        <v>#REF!</v>
      </c>
    </row>
    <row r="149" spans="1:9" hidden="1">
      <c r="A149" s="2" t="s">
        <v>173</v>
      </c>
      <c r="B149" s="5" t="s">
        <v>174</v>
      </c>
      <c r="C149" s="5"/>
      <c r="D149" s="5"/>
      <c r="E149" s="5"/>
      <c r="F149" s="5"/>
      <c r="G149" s="5"/>
      <c r="H149" s="5"/>
      <c r="I149" s="5"/>
    </row>
    <row r="150" spans="1:9" hidden="1">
      <c r="A150" s="5"/>
      <c r="B150" s="5"/>
      <c r="C150" s="5"/>
      <c r="D150" s="5"/>
      <c r="E150" s="5"/>
      <c r="F150" s="5"/>
      <c r="G150" s="5"/>
      <c r="H150" s="5"/>
      <c r="I150" s="5"/>
    </row>
    <row r="151" spans="1:9" hidden="1">
      <c r="A151" s="5"/>
      <c r="B151" s="5"/>
      <c r="C151" s="5"/>
      <c r="D151" s="5"/>
      <c r="E151" s="5"/>
      <c r="F151" s="5"/>
      <c r="G151" s="5"/>
      <c r="H151" s="5"/>
      <c r="I151" s="5"/>
    </row>
    <row r="152" spans="1:9">
      <c r="A152" s="209" t="s">
        <v>175</v>
      </c>
      <c r="B152" s="209"/>
      <c r="C152" s="209"/>
      <c r="D152" s="243">
        <f>D131*I130</f>
        <v>7026.26</v>
      </c>
      <c r="E152" s="243"/>
      <c r="F152" s="243"/>
      <c r="G152" s="243"/>
      <c r="H152" s="243"/>
      <c r="I152" s="243"/>
    </row>
    <row r="153" spans="1:9">
      <c r="A153" s="11"/>
      <c r="B153" s="11"/>
      <c r="C153" s="11"/>
      <c r="D153" s="53"/>
      <c r="E153" s="53"/>
      <c r="F153" s="53"/>
      <c r="G153" s="53"/>
      <c r="H153" s="53"/>
      <c r="I153" s="53"/>
    </row>
    <row r="155" spans="1:9" ht="66" customHeight="1">
      <c r="A155" s="239" t="s">
        <v>176</v>
      </c>
      <c r="B155" s="240"/>
      <c r="C155" s="240"/>
      <c r="D155" s="240"/>
      <c r="E155" s="240"/>
      <c r="F155" s="240"/>
      <c r="G155" s="240"/>
      <c r="H155" s="240"/>
      <c r="I155" s="240"/>
    </row>
    <row r="156" spans="1:9" ht="12.75" customHeight="1">
      <c r="A156" s="46"/>
      <c r="B156" s="47"/>
      <c r="C156" s="47"/>
      <c r="D156" s="47"/>
      <c r="E156" s="47"/>
      <c r="F156" s="47"/>
      <c r="G156" s="47"/>
      <c r="H156" s="47"/>
      <c r="I156" s="47"/>
    </row>
    <row r="157" spans="1:9" ht="26.25" customHeight="1">
      <c r="A157" s="241" t="s">
        <v>177</v>
      </c>
      <c r="B157" s="242"/>
      <c r="C157" s="242"/>
      <c r="D157" s="242"/>
      <c r="E157" s="242"/>
      <c r="F157" s="242"/>
      <c r="G157" s="242"/>
      <c r="H157" s="242"/>
      <c r="I157" s="242"/>
    </row>
    <row r="159" spans="1:9" ht="28.5" customHeight="1">
      <c r="A159" s="238" t="s">
        <v>178</v>
      </c>
      <c r="B159" s="238"/>
      <c r="C159" s="238"/>
      <c r="D159" s="238"/>
      <c r="E159" s="238"/>
      <c r="F159" s="238"/>
      <c r="G159" s="238"/>
      <c r="H159" s="238"/>
    </row>
    <row r="162" spans="1:5">
      <c r="A162" s="17" t="s">
        <v>179</v>
      </c>
      <c r="B162" s="17">
        <f>I130/I123</f>
        <v>2.2539714109736693</v>
      </c>
    </row>
    <row r="163" spans="1:5">
      <c r="A163" s="33"/>
      <c r="B163" s="17"/>
      <c r="E163" s="42"/>
    </row>
    <row r="164" spans="1:5">
      <c r="A164" s="17" t="s">
        <v>180</v>
      </c>
      <c r="B164" s="17"/>
      <c r="C164" s="33">
        <f>1*'Servente com insumos'!I130</f>
        <v>4918.7700000000004</v>
      </c>
    </row>
    <row r="165" spans="1:5">
      <c r="A165" s="17" t="s">
        <v>181</v>
      </c>
      <c r="B165" s="17"/>
      <c r="C165" s="33">
        <f>2*H8*C164</f>
        <v>118050.48000000001</v>
      </c>
    </row>
    <row r="166" spans="1:5">
      <c r="A166" s="42"/>
    </row>
    <row r="167" spans="1:5">
      <c r="A167" s="42"/>
    </row>
  </sheetData>
  <mergeCells count="172">
    <mergeCell ref="A159:H159"/>
    <mergeCell ref="B147:H147"/>
    <mergeCell ref="A148:H148"/>
    <mergeCell ref="A152:C152"/>
    <mergeCell ref="D152:I152"/>
    <mergeCell ref="A155:I155"/>
    <mergeCell ref="A157:I157"/>
    <mergeCell ref="A140:H140"/>
    <mergeCell ref="B142:G142"/>
    <mergeCell ref="A143:I143"/>
    <mergeCell ref="B144:H144"/>
    <mergeCell ref="B145:H145"/>
    <mergeCell ref="B146:H146"/>
    <mergeCell ref="A138:B138"/>
    <mergeCell ref="C138:D138"/>
    <mergeCell ref="E138:F138"/>
    <mergeCell ref="A139:B139"/>
    <mergeCell ref="C139:D139"/>
    <mergeCell ref="E139:F139"/>
    <mergeCell ref="A136:B136"/>
    <mergeCell ref="C136:D136"/>
    <mergeCell ref="E136:F136"/>
    <mergeCell ref="A137:B137"/>
    <mergeCell ref="C137:D137"/>
    <mergeCell ref="E137:F137"/>
    <mergeCell ref="A134:B134"/>
    <mergeCell ref="C134:D134"/>
    <mergeCell ref="E134:F134"/>
    <mergeCell ref="A135:B135"/>
    <mergeCell ref="C135:D135"/>
    <mergeCell ref="E135:F135"/>
    <mergeCell ref="A131:C131"/>
    <mergeCell ref="D131:I131"/>
    <mergeCell ref="B132:G132"/>
    <mergeCell ref="A133:B133"/>
    <mergeCell ref="C133:D133"/>
    <mergeCell ref="E133:F133"/>
    <mergeCell ref="B125:H125"/>
    <mergeCell ref="B126:H126"/>
    <mergeCell ref="B127:H127"/>
    <mergeCell ref="B128:H128"/>
    <mergeCell ref="B129:H129"/>
    <mergeCell ref="A130:H130"/>
    <mergeCell ref="B117:G117"/>
    <mergeCell ref="B119:G119"/>
    <mergeCell ref="A121:I121"/>
    <mergeCell ref="A122:H122"/>
    <mergeCell ref="B123:H123"/>
    <mergeCell ref="B124:H124"/>
    <mergeCell ref="B109:G109"/>
    <mergeCell ref="A110:G110"/>
    <mergeCell ref="B111:I111"/>
    <mergeCell ref="B112:G112"/>
    <mergeCell ref="B113:G113"/>
    <mergeCell ref="B115:G115"/>
    <mergeCell ref="B103:G103"/>
    <mergeCell ref="B104:G104"/>
    <mergeCell ref="B105:G105"/>
    <mergeCell ref="B106:G106"/>
    <mergeCell ref="B107:G107"/>
    <mergeCell ref="B108:G108"/>
    <mergeCell ref="B97:G97"/>
    <mergeCell ref="B98:G98"/>
    <mergeCell ref="B99:G99"/>
    <mergeCell ref="A100:G100"/>
    <mergeCell ref="A101:I101"/>
    <mergeCell ref="A102:I102"/>
    <mergeCell ref="B91:H91"/>
    <mergeCell ref="A92:H92"/>
    <mergeCell ref="A93:I93"/>
    <mergeCell ref="A94:I94"/>
    <mergeCell ref="B95:G95"/>
    <mergeCell ref="B96:G96"/>
    <mergeCell ref="B85:G85"/>
    <mergeCell ref="A86:G86"/>
    <mergeCell ref="A87:I87"/>
    <mergeCell ref="A88:I88"/>
    <mergeCell ref="A89:H89"/>
    <mergeCell ref="B90:H90"/>
    <mergeCell ref="B79:G79"/>
    <mergeCell ref="B80:G80"/>
    <mergeCell ref="B81:G81"/>
    <mergeCell ref="A82:G82"/>
    <mergeCell ref="A83:I83"/>
    <mergeCell ref="A84:G84"/>
    <mergeCell ref="A73:I73"/>
    <mergeCell ref="A74:I74"/>
    <mergeCell ref="A75:G75"/>
    <mergeCell ref="B76:G76"/>
    <mergeCell ref="B77:G77"/>
    <mergeCell ref="B78:G78"/>
    <mergeCell ref="B67:G67"/>
    <mergeCell ref="B68:G68"/>
    <mergeCell ref="B69:G69"/>
    <mergeCell ref="B70:G70"/>
    <mergeCell ref="B71:G71"/>
    <mergeCell ref="A72:G72"/>
    <mergeCell ref="B61:H61"/>
    <mergeCell ref="A62:H62"/>
    <mergeCell ref="A63:I63"/>
    <mergeCell ref="A64:I64"/>
    <mergeCell ref="B65:G65"/>
    <mergeCell ref="B66:G66"/>
    <mergeCell ref="A55:H55"/>
    <mergeCell ref="A56:I56"/>
    <mergeCell ref="A57:I57"/>
    <mergeCell ref="A58:H58"/>
    <mergeCell ref="B59:H59"/>
    <mergeCell ref="B60:H60"/>
    <mergeCell ref="B49:G49"/>
    <mergeCell ref="B50:G50"/>
    <mergeCell ref="B51:G51"/>
    <mergeCell ref="B52:G52"/>
    <mergeCell ref="B53:G53"/>
    <mergeCell ref="B54:G54"/>
    <mergeCell ref="B43:G43"/>
    <mergeCell ref="B44:G44"/>
    <mergeCell ref="B45:G45"/>
    <mergeCell ref="A46:G46"/>
    <mergeCell ref="A47:I47"/>
    <mergeCell ref="A48:G48"/>
    <mergeCell ref="A37:G37"/>
    <mergeCell ref="B38:G38"/>
    <mergeCell ref="B39:G39"/>
    <mergeCell ref="B40:G40"/>
    <mergeCell ref="B41:G41"/>
    <mergeCell ref="B42:G42"/>
    <mergeCell ref="A31:I31"/>
    <mergeCell ref="A32:G32"/>
    <mergeCell ref="B33:G33"/>
    <mergeCell ref="B34:G34"/>
    <mergeCell ref="A35:G35"/>
    <mergeCell ref="A36:I36"/>
    <mergeCell ref="B24:G24"/>
    <mergeCell ref="B25:G25"/>
    <mergeCell ref="B26:G26"/>
    <mergeCell ref="B27:G27"/>
    <mergeCell ref="B28:G28"/>
    <mergeCell ref="A29:H29"/>
    <mergeCell ref="B19:G19"/>
    <mergeCell ref="H19:I19"/>
    <mergeCell ref="A20:I20"/>
    <mergeCell ref="A21:I21"/>
    <mergeCell ref="B22:G22"/>
    <mergeCell ref="B23:G23"/>
    <mergeCell ref="B16:G16"/>
    <mergeCell ref="H16:I16"/>
    <mergeCell ref="B17:G17"/>
    <mergeCell ref="H17:I17"/>
    <mergeCell ref="B18:G18"/>
    <mergeCell ref="H18:I18"/>
    <mergeCell ref="A12:B12"/>
    <mergeCell ref="C12:D12"/>
    <mergeCell ref="E12:I12"/>
    <mergeCell ref="A14:I14"/>
    <mergeCell ref="B15:G15"/>
    <mergeCell ref="H15:I15"/>
    <mergeCell ref="B7:G7"/>
    <mergeCell ref="H7:I7"/>
    <mergeCell ref="B8:G8"/>
    <mergeCell ref="H8:I8"/>
    <mergeCell ref="A10:I10"/>
    <mergeCell ref="A11:B11"/>
    <mergeCell ref="C11:D11"/>
    <mergeCell ref="E11:I11"/>
    <mergeCell ref="A1:I1"/>
    <mergeCell ref="A2:I2"/>
    <mergeCell ref="A4:I4"/>
    <mergeCell ref="B5:G5"/>
    <mergeCell ref="H5:I5"/>
    <mergeCell ref="B6:G6"/>
    <mergeCell ref="H6:I6"/>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zoomScale="150" zoomScaleNormal="150" workbookViewId="0">
      <selection activeCell="C24" sqref="C24"/>
    </sheetView>
  </sheetViews>
  <sheetFormatPr defaultColWidth="9" defaultRowHeight="12.75"/>
  <cols>
    <col min="1" max="1" width="19" customWidth="1"/>
    <col min="2" max="2" width="9.7109375" customWidth="1"/>
    <col min="3" max="3" width="23.7109375" customWidth="1"/>
    <col min="4" max="4" width="20" customWidth="1"/>
    <col min="5" max="5" width="24.42578125" customWidth="1"/>
  </cols>
  <sheetData>
    <row r="1" spans="1:5">
      <c r="A1" s="8" t="s">
        <v>3</v>
      </c>
      <c r="B1" s="8" t="s">
        <v>364</v>
      </c>
      <c r="C1" s="8" t="s">
        <v>365</v>
      </c>
      <c r="D1" s="8" t="s">
        <v>366</v>
      </c>
      <c r="E1" s="8" t="s">
        <v>367</v>
      </c>
    </row>
    <row r="2" spans="1:5">
      <c r="A2" s="5" t="s">
        <v>368</v>
      </c>
      <c r="B2" s="2">
        <v>6350</v>
      </c>
      <c r="C2" s="2">
        <v>800</v>
      </c>
      <c r="D2" s="2">
        <f>B2/C2</f>
        <v>7.9375</v>
      </c>
      <c r="E2" s="2">
        <v>7</v>
      </c>
    </row>
    <row r="3" spans="1:5">
      <c r="A3" s="5" t="s">
        <v>369</v>
      </c>
      <c r="B3" s="2">
        <v>4500</v>
      </c>
      <c r="C3" s="2">
        <v>1800</v>
      </c>
      <c r="D3" s="2">
        <f t="shared" ref="D3" si="0">B3/C3</f>
        <v>2.5</v>
      </c>
      <c r="E3" s="2">
        <v>2</v>
      </c>
    </row>
    <row r="4" spans="1:5">
      <c r="A4" s="8" t="s">
        <v>172</v>
      </c>
      <c r="B4" s="1">
        <f>SUM(B2:B3)</f>
        <v>10850</v>
      </c>
      <c r="C4" s="278"/>
      <c r="D4" s="279"/>
      <c r="E4" s="1">
        <f>SUM(E2:E3)</f>
        <v>9</v>
      </c>
    </row>
  </sheetData>
  <mergeCells count="1">
    <mergeCell ref="C4:D4"/>
  </mergeCells>
  <pageMargins left="0.51180555555555596" right="0.51180555555555596" top="0.78680555555555598" bottom="0.78680555555555598" header="0.31458333333333299" footer="0.3145833333333329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zoomScale="170" zoomScaleNormal="170" workbookViewId="0">
      <selection activeCell="G6" sqref="G6"/>
    </sheetView>
  </sheetViews>
  <sheetFormatPr defaultColWidth="9" defaultRowHeight="12.75"/>
  <cols>
    <col min="1" max="1" width="64.28515625" customWidth="1"/>
    <col min="3" max="3" width="14.140625" customWidth="1"/>
    <col min="4" max="4" width="14.28515625" customWidth="1"/>
    <col min="5" max="5" width="18" customWidth="1"/>
    <col min="7" max="7" width="18.42578125" customWidth="1"/>
    <col min="8" max="9" width="12.7109375" customWidth="1"/>
    <col min="10" max="10" width="21.7109375" customWidth="1"/>
  </cols>
  <sheetData>
    <row r="1" spans="1:5" ht="15.75">
      <c r="A1" s="280" t="s">
        <v>370</v>
      </c>
      <c r="B1" s="280"/>
      <c r="C1" s="280"/>
      <c r="D1" s="280"/>
      <c r="E1" s="280"/>
    </row>
    <row r="3" spans="1:5">
      <c r="A3" s="184" t="s">
        <v>3</v>
      </c>
      <c r="B3" s="184" t="s">
        <v>371</v>
      </c>
      <c r="C3" s="184" t="s">
        <v>372</v>
      </c>
      <c r="D3" s="1" t="s">
        <v>373</v>
      </c>
      <c r="E3" s="1" t="s">
        <v>374</v>
      </c>
    </row>
    <row r="4" spans="1:5">
      <c r="A4" s="180" t="s">
        <v>375</v>
      </c>
      <c r="B4" s="181">
        <v>4</v>
      </c>
      <c r="C4" s="182">
        <v>92.18</v>
      </c>
      <c r="D4" s="183">
        <f>B4*C4</f>
        <v>368.72</v>
      </c>
      <c r="E4" s="45" t="s">
        <v>376</v>
      </c>
    </row>
    <row r="5" spans="1:5">
      <c r="A5" s="181" t="s">
        <v>377</v>
      </c>
      <c r="B5" s="181">
        <v>4</v>
      </c>
      <c r="C5" s="182">
        <v>121.03</v>
      </c>
      <c r="D5" s="183">
        <f t="shared" ref="D5:D8" si="0">B5*C5</f>
        <v>484.12</v>
      </c>
      <c r="E5" s="45" t="s">
        <v>376</v>
      </c>
    </row>
    <row r="6" spans="1:5">
      <c r="A6" s="181" t="s">
        <v>378</v>
      </c>
      <c r="B6" s="181">
        <v>4</v>
      </c>
      <c r="C6" s="182">
        <v>13.11</v>
      </c>
      <c r="D6" s="183">
        <f t="shared" si="0"/>
        <v>52.44</v>
      </c>
      <c r="E6" s="45" t="s">
        <v>376</v>
      </c>
    </row>
    <row r="7" spans="1:5">
      <c r="A7" s="181" t="s">
        <v>379</v>
      </c>
      <c r="B7" s="181">
        <v>2</v>
      </c>
      <c r="C7" s="182">
        <v>10.06</v>
      </c>
      <c r="D7" s="183">
        <f t="shared" si="0"/>
        <v>20.12</v>
      </c>
      <c r="E7" s="45" t="s">
        <v>376</v>
      </c>
    </row>
    <row r="8" spans="1:5">
      <c r="A8" s="181" t="s">
        <v>380</v>
      </c>
      <c r="B8" s="181">
        <v>4</v>
      </c>
      <c r="C8" s="182">
        <v>88.59</v>
      </c>
      <c r="D8" s="183">
        <f t="shared" si="0"/>
        <v>354.36</v>
      </c>
      <c r="E8" s="45" t="s">
        <v>376</v>
      </c>
    </row>
    <row r="9" spans="1:5">
      <c r="A9" s="185"/>
      <c r="B9" s="185"/>
      <c r="C9" s="186"/>
      <c r="D9" s="4"/>
      <c r="E9" s="45"/>
    </row>
    <row r="10" spans="1:5">
      <c r="A10" s="2"/>
      <c r="B10" s="2"/>
      <c r="C10" s="3"/>
      <c r="D10" s="4"/>
      <c r="E10" s="45"/>
    </row>
    <row r="11" spans="1:5">
      <c r="A11" s="2"/>
      <c r="B11" s="2"/>
      <c r="C11" s="3"/>
      <c r="D11" s="4"/>
      <c r="E11" s="45"/>
    </row>
    <row r="12" spans="1:5">
      <c r="A12" s="281" t="s">
        <v>381</v>
      </c>
      <c r="B12" s="281"/>
      <c r="C12" s="281"/>
      <c r="D12" s="6">
        <f>SUM(D4:D11)</f>
        <v>1279.76</v>
      </c>
    </row>
    <row r="14" spans="1:5">
      <c r="A14" s="209" t="s">
        <v>382</v>
      </c>
      <c r="B14" s="209"/>
      <c r="C14" s="209"/>
      <c r="D14" s="7">
        <f>D12/12</f>
        <v>106.64666666666666</v>
      </c>
    </row>
  </sheetData>
  <mergeCells count="3">
    <mergeCell ref="A1:E1"/>
    <mergeCell ref="A12:C12"/>
    <mergeCell ref="A14:C14"/>
  </mergeCells>
  <pageMargins left="0.51180555555555596" right="0.51180555555555596" top="0.78680555555555598" bottom="0.78680555555555598" header="0.31458333333333299" footer="0.31458333333333299"/>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AEA8AEF289EC469568070342C0A21E" ma:contentTypeVersion="18" ma:contentTypeDescription="Crie um novo documento." ma:contentTypeScope="" ma:versionID="10fb82967651e632dc97089b3130a191">
  <xsd:schema xmlns:xsd="http://www.w3.org/2001/XMLSchema" xmlns:xs="http://www.w3.org/2001/XMLSchema" xmlns:p="http://schemas.microsoft.com/office/2006/metadata/properties" xmlns:ns2="93f79b37-4887-4a39-80d2-0936e4ef5ed3" xmlns:ns3="9ac3dc5f-7cd1-44f1-ad3e-c852f362b0cb" targetNamespace="http://schemas.microsoft.com/office/2006/metadata/properties" ma:root="true" ma:fieldsID="2fcda5d87f5d4d882971955b3e75b100" ns2:_="" ns3:_="">
    <xsd:import namespace="93f79b37-4887-4a39-80d2-0936e4ef5ed3"/>
    <xsd:import namespace="9ac3dc5f-7cd1-44f1-ad3e-c852f362b0c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79b37-4887-4a39-80d2-0936e4ef5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Marcações de imagem" ma:readOnly="false" ma:fieldId="{5cf76f15-5ced-4ddc-b409-7134ff3c332f}" ma:taxonomyMulti="true" ma:sspId="abe3d53f-864c-4c30-b421-a8cfe89dac5d"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c3dc5f-7cd1-44f1-ad3e-c852f362b0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2de7287-0d2b-4346-8d33-0b3aa5739452}" ma:internalName="TaxCatchAll" ma:showField="CatchAllData" ma:web="9ac3dc5f-7cd1-44f1-ad3e-c852f362b0cb">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c3dc5f-7cd1-44f1-ad3e-c852f362b0cb" xsi:nil="true"/>
    <lcf76f155ced4ddcb4097134ff3c332f xmlns="93f79b37-4887-4a39-80d2-0936e4ef5ed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4B6FC4-22BF-4A0F-82F2-EBFBC2099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79b37-4887-4a39-80d2-0936e4ef5ed3"/>
    <ds:schemaRef ds:uri="9ac3dc5f-7cd1-44f1-ad3e-c852f362b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6D2FC1-D4C8-469A-B409-B1DDD18F6AE0}">
  <ds:schemaRefs>
    <ds:schemaRef ds:uri="http://schemas.microsoft.com/sharepoint/v3/contenttype/forms"/>
  </ds:schemaRefs>
</ds:datastoreItem>
</file>

<file path=customXml/itemProps3.xml><?xml version="1.0" encoding="utf-8"?>
<ds:datastoreItem xmlns:ds="http://schemas.openxmlformats.org/officeDocument/2006/customXml" ds:itemID="{75B6F7B4-346B-48DF-A10F-FB647613A908}">
  <ds:schemaRefs>
    <ds:schemaRef ds:uri="http://schemas.microsoft.com/office/2006/metadata/properties"/>
    <ds:schemaRef ds:uri="http://schemas.microsoft.com/office/infopath/2007/PartnerControls"/>
    <ds:schemaRef ds:uri="9ac3dc5f-7cd1-44f1-ad3e-c852f362b0cb"/>
    <ds:schemaRef ds:uri="93f79b37-4887-4a39-80d2-0936e4ef5e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Resumo</vt:lpstr>
      <vt:lpstr>Servente com insumos</vt:lpstr>
      <vt:lpstr>Servente com insalubridade</vt:lpstr>
      <vt:lpstr>servente Sem insumos</vt:lpstr>
      <vt:lpstr>INSUMOS</vt:lpstr>
      <vt:lpstr>Encarregado</vt:lpstr>
      <vt:lpstr>encarregado sem insumos</vt:lpstr>
      <vt:lpstr>Quantidade de Serventes</vt:lpstr>
      <vt:lpstr>Memórias de Cálculo</vt:lpstr>
      <vt:lpstr>Planilha3</vt:lpstr>
      <vt:lpstr>Valor unit por m2</vt:lpstr>
      <vt:lpstr>Sem insumos</vt:lpstr>
      <vt:lpstr>Pesquisa de preços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Fransuelio Medeiros Rocha de Araujo</cp:lastModifiedBy>
  <cp:revision/>
  <cp:lastPrinted>2023-12-20T14:44:22Z</cp:lastPrinted>
  <dcterms:created xsi:type="dcterms:W3CDTF">2010-12-08T17:56:00Z</dcterms:created>
  <dcterms:modified xsi:type="dcterms:W3CDTF">2024-01-09T18:25:06Z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1046-10.2.0.7516</vt:lpwstr>
  </property>
  <property fmtid="{D5CDD505-2E9C-101B-9397-08002B2CF9AE}" pid="3" name="ContentTypeId">
    <vt:lpwstr>0x0101002BAEA8AEF289EC469568070342C0A21E</vt:lpwstr>
  </property>
  <property fmtid="{D5CDD505-2E9C-101B-9397-08002B2CF9AE}" pid="4" name="MediaServiceImageTags">
    <vt:lpwstr/>
  </property>
</Properties>
</file>